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nnydiguisto/Dropbox/Sales (shared)/Special projects/Oberaargau/"/>
    </mc:Choice>
  </mc:AlternateContent>
  <xr:revisionPtr revIDLastSave="0" documentId="13_ncr:1_{F9A7C2AD-A996-0044-B75B-28742972AE9D}" xr6:coauthVersionLast="47" xr6:coauthVersionMax="47" xr10:uidLastSave="{00000000-0000-0000-0000-000000000000}"/>
  <bookViews>
    <workbookView xWindow="0" yWindow="760" windowWidth="30240" windowHeight="18880" xr2:uid="{7BBE090D-B7BF-5D4A-8F56-F8C76854CE92}"/>
  </bookViews>
  <sheets>
    <sheet name="Sheet1" sheetId="1" r:id="rId1"/>
  </sheets>
  <definedNames>
    <definedName name="_xlnm._FilterDatabase" localSheetId="0" hidden="1">Sheet1!$A$4:$L$4722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</calcChain>
</file>

<file path=xl/sharedStrings.xml><?xml version="1.0" encoding="utf-8"?>
<sst xmlns="http://schemas.openxmlformats.org/spreadsheetml/2006/main" count="45722" uniqueCount="14704">
  <si>
    <t>uid</t>
  </si>
  <si>
    <t>firmenname</t>
  </si>
  <si>
    <t>rechtsform</t>
  </si>
  <si>
    <t>bei</t>
  </si>
  <si>
    <t>adresse</t>
  </si>
  <si>
    <t>plz</t>
  </si>
  <si>
    <t>ort</t>
  </si>
  <si>
    <t>kanton</t>
  </si>
  <si>
    <t>branchen_noga</t>
  </si>
  <si>
    <t>branchen_noga_beschreibung</t>
  </si>
  <si>
    <t>mitarbeiteranzahl</t>
  </si>
  <si>
    <t>CHE-105.105.212</t>
  </si>
  <si>
    <t>Bank Oberaargau AG</t>
  </si>
  <si>
    <t>Aktiengesellschaft</t>
  </si>
  <si>
    <t>Stadthausstrasse 1</t>
  </si>
  <si>
    <t>Huttwil</t>
  </si>
  <si>
    <t>BE</t>
  </si>
  <si>
    <t>K641904</t>
  </si>
  <si>
    <t>Regionalbanken und Sparkassen</t>
  </si>
  <si>
    <t>&gt;249 Mit.</t>
  </si>
  <si>
    <t>CHE-105.105.271</t>
  </si>
  <si>
    <t>bossinfo.ch AG</t>
  </si>
  <si>
    <t>Tannackerstrasse 3</t>
  </si>
  <si>
    <t>Farnern</t>
  </si>
  <si>
    <t>J620200</t>
  </si>
  <si>
    <t>Erbringung von Beratungsleistungen auf dem Gebiet der Informationstechnologie</t>
  </si>
  <si>
    <t>CHE-107.107.561</t>
  </si>
  <si>
    <t>Arnold AG</t>
  </si>
  <si>
    <t>Vorstadt 20</t>
  </si>
  <si>
    <t>Wangen an der Aare</t>
  </si>
  <si>
    <t>F422200</t>
  </si>
  <si>
    <t>Kabelnetzleitungstiefbau</t>
  </si>
  <si>
    <t>CHE-105.105.742</t>
  </si>
  <si>
    <t>UFA AG</t>
  </si>
  <si>
    <t>Byfangstrasse 7</t>
  </si>
  <si>
    <t>Herzogenbuchsee</t>
  </si>
  <si>
    <t>C109100</t>
  </si>
  <si>
    <t>Herstellung von Futtermitteln für Nutztiere</t>
  </si>
  <si>
    <t>CHE-102.102.862</t>
  </si>
  <si>
    <t>Création Baumann AG</t>
  </si>
  <si>
    <t>Bern-Zürich-Strasse 23</t>
  </si>
  <si>
    <t>Langenthal</t>
  </si>
  <si>
    <t>C132003</t>
  </si>
  <si>
    <t>Sonstige Weberei</t>
  </si>
  <si>
    <t>CHE-105.105.139</t>
  </si>
  <si>
    <t>Bystronic Laser AG</t>
  </si>
  <si>
    <t>Industriestrasse 21</t>
  </si>
  <si>
    <t>Niederönz</t>
  </si>
  <si>
    <t>C282900</t>
  </si>
  <si>
    <t>Herstellung von sonstigen nicht wirtschaftszweigspezifischen Maschinen a. n. g.</t>
  </si>
  <si>
    <t>CHE-102.102.056</t>
  </si>
  <si>
    <t>Fischer AG Präzisionsspindeln</t>
  </si>
  <si>
    <t>Ernst Fischer-Weg 5</t>
  </si>
  <si>
    <t>C284100</t>
  </si>
  <si>
    <t>Herstellung von Werkzeugmaschinen für die Metallbearbeitung</t>
  </si>
  <si>
    <t>50-249 Mit.</t>
  </si>
  <si>
    <t>CHE-101.101.670</t>
  </si>
  <si>
    <t>Aktiengesellschaft Bären Langenthal</t>
  </si>
  <si>
    <t>St. Urbanstr. 1</t>
  </si>
  <si>
    <t>I551001</t>
  </si>
  <si>
    <t>Hotels, Gasthöfe und Pensionen mit Restaurant</t>
  </si>
  <si>
    <t>CHE-375.375.234</t>
  </si>
  <si>
    <t>W. Althaus AG</t>
  </si>
  <si>
    <t>Jurastrasse 12</t>
  </si>
  <si>
    <t>Aarwangen</t>
  </si>
  <si>
    <t>C279000</t>
  </si>
  <si>
    <t>Herstellung von sonstigen elektrischen Ausrüstungen und Geräten a. n. g.</t>
  </si>
  <si>
    <t>CHE-101.101.155</t>
  </si>
  <si>
    <t>schoeni.ch holding ag</t>
  </si>
  <si>
    <t>c/o Daniel Schöni</t>
  </si>
  <si>
    <t>Stierenweidstrasse 6</t>
  </si>
  <si>
    <t>Oberbipp</t>
  </si>
  <si>
    <t>M701002</t>
  </si>
  <si>
    <t>Firmensitzaktivitäten von anderen Gesellschaften</t>
  </si>
  <si>
    <t>CHE-109.109.902</t>
  </si>
  <si>
    <t>HE Hector Egger Bauunternehmung AG</t>
  </si>
  <si>
    <t>Gaswerkstrasse 70A</t>
  </si>
  <si>
    <t>F412001</t>
  </si>
  <si>
    <t>Allgemeiner Hochbau</t>
  </si>
  <si>
    <t>CHE-105.105.004</t>
  </si>
  <si>
    <t>Meliofeed AG</t>
  </si>
  <si>
    <t>Eisenbahnstrasse 16</t>
  </si>
  <si>
    <t>CHE-107.107.923</t>
  </si>
  <si>
    <t>Beratungs- und Gesundheitsdienst für Kleinwiederkäuer BGK-Genossenschaft</t>
  </si>
  <si>
    <t>Genossenschaft</t>
  </si>
  <si>
    <t>Industriestrasse 9</t>
  </si>
  <si>
    <t>M750000</t>
  </si>
  <si>
    <t>Veterinärwesen</t>
  </si>
  <si>
    <t>CHE-111.111.811</t>
  </si>
  <si>
    <t>GLZ Geschäfts- und Logistikzentrum Langenthal AG</t>
  </si>
  <si>
    <t>Chasseralstrasse 1</t>
  </si>
  <si>
    <t>H522900</t>
  </si>
  <si>
    <t>Erbringung von sonstigen Dienstleistungen für den Verkehr a. n. g.</t>
  </si>
  <si>
    <t>CHE-103.103.927</t>
  </si>
  <si>
    <t>Kunsteisbahn Langenthal AG</t>
  </si>
  <si>
    <t>Dorfgasse 99</t>
  </si>
  <si>
    <t>R931100</t>
  </si>
  <si>
    <t>Betrieb von Sportanlagen</t>
  </si>
  <si>
    <t>Industriestrasse 17</t>
  </si>
  <si>
    <t>Bützberg</t>
  </si>
  <si>
    <t>H521000</t>
  </si>
  <si>
    <t>Lagerung</t>
  </si>
  <si>
    <t>CHE-101.101.480</t>
  </si>
  <si>
    <t>Ziegelwerke Roggwil AG</t>
  </si>
  <si>
    <t>Ziegeleiweg 10</t>
  </si>
  <si>
    <t>Roggwil BE</t>
  </si>
  <si>
    <t>C233200</t>
  </si>
  <si>
    <t>Herstellung von Ziegeln und sonstiger Baukeramik</t>
  </si>
  <si>
    <t>CHE-103.103.109</t>
  </si>
  <si>
    <t>Transportgemeinschaft AG</t>
  </si>
  <si>
    <t>Rütifeldstrasse 1</t>
  </si>
  <si>
    <t>CHE-102.102.991</t>
  </si>
  <si>
    <t>Knuchel Farben AG</t>
  </si>
  <si>
    <t>Wiedlisbach</t>
  </si>
  <si>
    <t>C203000</t>
  </si>
  <si>
    <t>Herstellung von Anstrichmitteln, Druckfarben und Kitten</t>
  </si>
  <si>
    <t>CHE-109.109.639</t>
  </si>
  <si>
    <t>Avesco AG</t>
  </si>
  <si>
    <t>Hasenmattstrasse 2</t>
  </si>
  <si>
    <t>G466300</t>
  </si>
  <si>
    <t>Grosshandel mit Bergwerks-, Bau- und Baustoffmaschinen</t>
  </si>
  <si>
    <t>CHE-102.102.620</t>
  </si>
  <si>
    <t>Güdel Group AG</t>
  </si>
  <si>
    <t>c/o Güdel AG</t>
  </si>
  <si>
    <t>Gaswerkstrasse 26</t>
  </si>
  <si>
    <t>CHE-112.112.013</t>
  </si>
  <si>
    <t>Chronoflex Schweiz AG</t>
  </si>
  <si>
    <t>CHE-111.111.178</t>
  </si>
  <si>
    <t>Lantal Textiles AG</t>
  </si>
  <si>
    <t>Dorfgasse 5</t>
  </si>
  <si>
    <t>C132001</t>
  </si>
  <si>
    <t>Baumwollweberei</t>
  </si>
  <si>
    <t>CHE-362.362.411</t>
  </si>
  <si>
    <t>BKW Infra Services AG</t>
  </si>
  <si>
    <t>F432100</t>
  </si>
  <si>
    <t>Elektroinstallation</t>
  </si>
  <si>
    <t>CHE-213.213.619</t>
  </si>
  <si>
    <t>hystrix medical AG</t>
  </si>
  <si>
    <t>Bahnhofstrasse 47</t>
  </si>
  <si>
    <t>J631200</t>
  </si>
  <si>
    <t>Webportale</t>
  </si>
  <si>
    <t>CHE-101.101.533</t>
  </si>
  <si>
    <t>Girsberger AG</t>
  </si>
  <si>
    <t>Bernstrasse 78</t>
  </si>
  <si>
    <t>C310900</t>
  </si>
  <si>
    <t>Herstellung von sonstigen Möbeln</t>
  </si>
  <si>
    <t>CHE-105.105.294</t>
  </si>
  <si>
    <t>EWK Herzogenbuchsee AG</t>
  </si>
  <si>
    <t>Eisenbahnstrasse 2</t>
  </si>
  <si>
    <t>D351300</t>
  </si>
  <si>
    <t>Elektrizitätsverteilung</t>
  </si>
  <si>
    <t>CHE-107.107.314</t>
  </si>
  <si>
    <t>FISCHER Fuel Cell Compressor AG</t>
  </si>
  <si>
    <t>M711203</t>
  </si>
  <si>
    <t>Sonstige lngenieurbüros</t>
  </si>
  <si>
    <t>CHE-103.103.431</t>
  </si>
  <si>
    <t>Knuchel Immobilien AG</t>
  </si>
  <si>
    <t>L683200</t>
  </si>
  <si>
    <t>Verwaltung von Grundstücken, Gebäuden und Wohnungen für Dritte</t>
  </si>
  <si>
    <t>CHE-101.101.498</t>
  </si>
  <si>
    <t>Glas Trösch AG</t>
  </si>
  <si>
    <t>Industriestrasse 29</t>
  </si>
  <si>
    <t>C231200</t>
  </si>
  <si>
    <t>Veredlung und Bearbeitung von Flachglas</t>
  </si>
  <si>
    <t>CHE-273.273.659</t>
  </si>
  <si>
    <t>Witschi AG</t>
  </si>
  <si>
    <t>Murgenthalstrasse 87</t>
  </si>
  <si>
    <t>F412003</t>
  </si>
  <si>
    <t>Allgemeiner Hoch- und Tiefbau ohne ausgeprägten Schwerpunkt</t>
  </si>
  <si>
    <t>CHE-356.356.783</t>
  </si>
  <si>
    <t>AquArenA Sport + Wellness AG</t>
  </si>
  <si>
    <t>Eigenweg 10</t>
  </si>
  <si>
    <t>CHE-110.110.213</t>
  </si>
  <si>
    <t>Calag Carrosserie Langenthal AG</t>
  </si>
  <si>
    <t>Chasseralstrasse 7</t>
  </si>
  <si>
    <t>G452002</t>
  </si>
  <si>
    <t>Reparatur und Lackieren von Carrosserien</t>
  </si>
  <si>
    <t>CHE-103.103.056</t>
  </si>
  <si>
    <t>Ammann Schweiz AG</t>
  </si>
  <si>
    <t>Eisenbahnstrasse 25</t>
  </si>
  <si>
    <t>C289200</t>
  </si>
  <si>
    <t>Herstellung von Bergwerks-, Bau- und Baustoffmaschinen</t>
  </si>
  <si>
    <t>K642002</t>
  </si>
  <si>
    <t>Andere Holdinggesellschaften</t>
  </si>
  <si>
    <t>CHE-109.109.082</t>
  </si>
  <si>
    <t>Glas Trösch Verwaltungs-AG</t>
  </si>
  <si>
    <t>K649901</t>
  </si>
  <si>
    <t>Investmentgesellschaften</t>
  </si>
  <si>
    <t>CHE-101.101.143</t>
  </si>
  <si>
    <t>Serco Landtechnik AG</t>
  </si>
  <si>
    <t>Niedermattstrasse 25</t>
  </si>
  <si>
    <t>G466100</t>
  </si>
  <si>
    <t>Grosshandel mit landwirtschaftlichen Maschinen und Geräten</t>
  </si>
  <si>
    <t>CHE-108.108.021</t>
  </si>
  <si>
    <t>Thommen AG Aarwangen</t>
  </si>
  <si>
    <t>Industriestrasse 14</t>
  </si>
  <si>
    <t>F431100</t>
  </si>
  <si>
    <t>Abbrucharbeiten</t>
  </si>
  <si>
    <t>CHE-110.110.262</t>
  </si>
  <si>
    <t>Ammann BauAusrüstung AG</t>
  </si>
  <si>
    <t>CHE-109.109.719</t>
  </si>
  <si>
    <t>Bernhard Bau GmbH</t>
  </si>
  <si>
    <t>Gesellschaft mit beschränkter Haftung</t>
  </si>
  <si>
    <t>Melchnaustrasse 53a</t>
  </si>
  <si>
    <t>CHE-105.105.186</t>
  </si>
  <si>
    <t>W. Ottiger AG</t>
  </si>
  <si>
    <t>Neufeldweg 1</t>
  </si>
  <si>
    <t>Bannwil</t>
  </si>
  <si>
    <t>G463300</t>
  </si>
  <si>
    <t>Grosshandel mit Milch, Milcherzeugnissen, Eiern, Speiseölen und Nahrungsfetten</t>
  </si>
  <si>
    <t>CHE-109.109.604</t>
  </si>
  <si>
    <t>simatec ag</t>
  </si>
  <si>
    <t>Stadthof 2</t>
  </si>
  <si>
    <t>C289600</t>
  </si>
  <si>
    <t>Herstellung von Maschinen für die Verarbeitung von Kunststoffen und Kautschuk</t>
  </si>
  <si>
    <t>CHE-108.108.370</t>
  </si>
  <si>
    <t>IB Langenthal AG</t>
  </si>
  <si>
    <t>Talstrasse 29</t>
  </si>
  <si>
    <t>CHE-109.109.980</t>
  </si>
  <si>
    <t>Amavita Health Care AG</t>
  </si>
  <si>
    <t>Industriestrasse 2</t>
  </si>
  <si>
    <t>Niederbipp</t>
  </si>
  <si>
    <t>G464601</t>
  </si>
  <si>
    <t>Grosshandel mit pharmazeutischen Erzeugnissen</t>
  </si>
  <si>
    <t>CHE-106.106.534</t>
  </si>
  <si>
    <t>DIY-WOOD AG</t>
  </si>
  <si>
    <t>Industriestrasse 1</t>
  </si>
  <si>
    <t>G467301</t>
  </si>
  <si>
    <t>Grosshandel mit Holz und Bauelementen aus Holz</t>
  </si>
  <si>
    <t>CHE-107.107.939</t>
  </si>
  <si>
    <t>Gfeller + Partner AG</t>
  </si>
  <si>
    <t>Bahnhofstr. 26</t>
  </si>
  <si>
    <t>M692000</t>
  </si>
  <si>
    <t>Wirtschaftsprüfung und Steuerberatung; Buchführung; Treuhandgesellschaften</t>
  </si>
  <si>
    <t>CHE-103.103.575</t>
  </si>
  <si>
    <t>Toga Food SA</t>
  </si>
  <si>
    <t>Deitingenstrasse 5</t>
  </si>
  <si>
    <t>G463800</t>
  </si>
  <si>
    <t>Grosshandel mit sonstigen Nahrungs- und Genussmitteln</t>
  </si>
  <si>
    <t>CHE-102.102.005</t>
  </si>
  <si>
    <t>Iff AG</t>
  </si>
  <si>
    <t>Aarwangenstrasse 4</t>
  </si>
  <si>
    <t>B081200</t>
  </si>
  <si>
    <t>Gewinnung von Kies, Sand, Ton und Kaolin</t>
  </si>
  <si>
    <t>CHE-132.132.536</t>
  </si>
  <si>
    <t>GA Buchsi AG</t>
  </si>
  <si>
    <t>CHE-109.109.724</t>
  </si>
  <si>
    <t>SC Langenthal AG</t>
  </si>
  <si>
    <t>Jurastrasse 18</t>
  </si>
  <si>
    <t>R931200</t>
  </si>
  <si>
    <t>Sportvereine</t>
  </si>
  <si>
    <t>CHE-112.112.463</t>
  </si>
  <si>
    <t>Renet AG</t>
  </si>
  <si>
    <t>Farbgasse 3</t>
  </si>
  <si>
    <t>J611000</t>
  </si>
  <si>
    <t>Leitungsgebundene Telekommunikation</t>
  </si>
  <si>
    <t>CHE-111.111.555</t>
  </si>
  <si>
    <t>Güdel AG</t>
  </si>
  <si>
    <t>Oberstrasse 15</t>
  </si>
  <si>
    <t>CHE-107.107.997</t>
  </si>
  <si>
    <t>M711101</t>
  </si>
  <si>
    <t>Architekturbüros</t>
  </si>
  <si>
    <t>CHE-103.103.302</t>
  </si>
  <si>
    <t>Bern-Zürich-Strasse 31</t>
  </si>
  <si>
    <t>CHE-106.106.375</t>
  </si>
  <si>
    <t>Miphalt AG</t>
  </si>
  <si>
    <t>Aarwangenstrasse 6</t>
  </si>
  <si>
    <t>C239901</t>
  </si>
  <si>
    <t>Herstellung von Produkten aus Asphalt</t>
  </si>
  <si>
    <t>CHE-107.107.804</t>
  </si>
  <si>
    <t>MOTOREX AG</t>
  </si>
  <si>
    <t>C205900</t>
  </si>
  <si>
    <t>Herstellung von sonstigen chemischen Erzeugnissen a. n. g.</t>
  </si>
  <si>
    <t>CHE-103.103.046</t>
  </si>
  <si>
    <t>KADI AG</t>
  </si>
  <si>
    <t>Thunstettenstrasse 27</t>
  </si>
  <si>
    <t>C108900</t>
  </si>
  <si>
    <t>Herstellung von sonstigen Nahrungsmitteln a. n. g.</t>
  </si>
  <si>
    <t>CHE-102.102.222</t>
  </si>
  <si>
    <t>Heiniger AG</t>
  </si>
  <si>
    <t>Industrieweg 8</t>
  </si>
  <si>
    <t>C283000</t>
  </si>
  <si>
    <t>Herstellung von land- und forstwirtschaftlichen Maschinen</t>
  </si>
  <si>
    <t>CHE-107.107.302</t>
  </si>
  <si>
    <t>Tomwood AG</t>
  </si>
  <si>
    <t>Gartenstrasse 4</t>
  </si>
  <si>
    <t>CHE-106.106.557</t>
  </si>
  <si>
    <t>Tecton Abdichtungen AG</t>
  </si>
  <si>
    <t>Breitsteinweg 16</t>
  </si>
  <si>
    <t>F439901</t>
  </si>
  <si>
    <t>Abdichtungen</t>
  </si>
  <si>
    <t>CHE-107.107.657</t>
  </si>
  <si>
    <t>Frischbeton Langenthal AG</t>
  </si>
  <si>
    <t>Aarwangenstrasse 96</t>
  </si>
  <si>
    <t>C236300</t>
  </si>
  <si>
    <t>Herstellung von Frischbeton (Transportbeton)</t>
  </si>
  <si>
    <t>CHE-115.115.626</t>
  </si>
  <si>
    <t>Immark AG Aarwangen</t>
  </si>
  <si>
    <t>G466900</t>
  </si>
  <si>
    <t>Grosshandel mit sonstigen Maschinen und Ausrüstungen</t>
  </si>
  <si>
    <t>CHE-103.103.019</t>
  </si>
  <si>
    <t>Girsberger Holding AG</t>
  </si>
  <si>
    <t>CHE-102.102.554</t>
  </si>
  <si>
    <t>Jurastrasse 31</t>
  </si>
  <si>
    <t>D351100</t>
  </si>
  <si>
    <t>Elektrizitätserzeugung</t>
  </si>
  <si>
    <t>CHE-102.102.476</t>
  </si>
  <si>
    <t>Daetwyler Global Tec Holding AG</t>
  </si>
  <si>
    <t>Bleienbach</t>
  </si>
  <si>
    <t>CHE-389.389.418</t>
  </si>
  <si>
    <t>KREUZ Herzogenbuchsee Betriebs AG</t>
  </si>
  <si>
    <t>Kirchgasse 1</t>
  </si>
  <si>
    <t>CHE-102.102.670</t>
  </si>
  <si>
    <t>DUAP AG</t>
  </si>
  <si>
    <t>Waldgasse 19</t>
  </si>
  <si>
    <t>C281300</t>
  </si>
  <si>
    <t>Herstellung von Pumpen und Kompressoren a. n. g.</t>
  </si>
  <si>
    <t>CHE-105.105.015</t>
  </si>
  <si>
    <t>SRO AG</t>
  </si>
  <si>
    <t>St. Urbanstr. 67</t>
  </si>
  <si>
    <t>Q861001</t>
  </si>
  <si>
    <t>Allgemeine Krankenhäuser</t>
  </si>
  <si>
    <t>CHE-107.107.424</t>
  </si>
  <si>
    <t>WMC Sinterstar AG</t>
  </si>
  <si>
    <t>Bahnstrasse 1</t>
  </si>
  <si>
    <t>Lotzwil</t>
  </si>
  <si>
    <t>G467400</t>
  </si>
  <si>
    <t>Grosshandel mit Metall- und Kunststoffwaren für Bauzwecke sowie Installationsbedarf für Gas, Wasser und Heizung</t>
  </si>
  <si>
    <t>CHE-102.102.027</t>
  </si>
  <si>
    <t>Fritz Born AG</t>
  </si>
  <si>
    <t>Gaswerkstr. 58</t>
  </si>
  <si>
    <t>C256201</t>
  </si>
  <si>
    <t>Mechanische Werkstätten</t>
  </si>
  <si>
    <t>CHE-109.109.859</t>
  </si>
  <si>
    <t>Avesco Rent AG</t>
  </si>
  <si>
    <t>N773900</t>
  </si>
  <si>
    <t>Vermietung von sonstigen Maschinen, Geräten und beweglichen Sachen a. n. g.</t>
  </si>
  <si>
    <t>CHE-107.107.821</t>
  </si>
  <si>
    <t>LANDI Buchsi, Genossenschaft</t>
  </si>
  <si>
    <t>Byfangstrasse 3</t>
  </si>
  <si>
    <t>G471902</t>
  </si>
  <si>
    <t>Sonstiger Detailhandel mit Waren verschiedener Art a.n.g</t>
  </si>
  <si>
    <t>CHE-107.107.444</t>
  </si>
  <si>
    <t>Schweizerischer Schafzuchtverband Genossenschaft</t>
  </si>
  <si>
    <t>S941100</t>
  </si>
  <si>
    <t>Wirtschafts- und Arbeitgeberverbände</t>
  </si>
  <si>
    <t>CHE-213.213.457</t>
  </si>
  <si>
    <t>3M EMEA GmbH</t>
  </si>
  <si>
    <t>Kühlhausstrasse 2</t>
  </si>
  <si>
    <t>CHE-105.105.331</t>
  </si>
  <si>
    <t>Aare Seeland mobil AG</t>
  </si>
  <si>
    <t>Grubenstr. 12</t>
  </si>
  <si>
    <t>H492000</t>
  </si>
  <si>
    <t>Güterbeförderung im Eisenbahnverkehr</t>
  </si>
  <si>
    <t>CHE-105.105.991</t>
  </si>
  <si>
    <t>Galexis AG</t>
  </si>
  <si>
    <t>CHE-302.302.337</t>
  </si>
  <si>
    <t>clevergie ag</t>
  </si>
  <si>
    <t>Möösli 307</t>
  </si>
  <si>
    <t>Wyssachen</t>
  </si>
  <si>
    <t>CHE-377.377.760</t>
  </si>
  <si>
    <t>Bunorm Maschinenbau AG</t>
  </si>
  <si>
    <t>Industriestrasse 6</t>
  </si>
  <si>
    <t>CHE-116.116.205</t>
  </si>
  <si>
    <t>dahlia oberaargau ag</t>
  </si>
  <si>
    <t>Stelliweg 24</t>
  </si>
  <si>
    <t>Q871000</t>
  </si>
  <si>
    <t>Pflegeheime</t>
  </si>
  <si>
    <t>CHE-105.105.059</t>
  </si>
  <si>
    <t>Tela GmbH</t>
  </si>
  <si>
    <t>Rotboden 1</t>
  </si>
  <si>
    <t>C172200</t>
  </si>
  <si>
    <t>Herstellung von Haushalts-, Hygiene- und Toilettenartikeln aus Zellstoff, Papier und Pappe</t>
  </si>
  <si>
    <t>CHE-105.105.478</t>
  </si>
  <si>
    <t>LANDI Melchnau-Bützberg, Genossenschaft</t>
  </si>
  <si>
    <t>Dorfstrasse 34</t>
  </si>
  <si>
    <t>Melchnau</t>
  </si>
  <si>
    <t>CHE-103.103.894</t>
  </si>
  <si>
    <t>Erbo Spraytec AG</t>
  </si>
  <si>
    <t>CHE-111.111.413</t>
  </si>
  <si>
    <t>Rudolf Geiser AG</t>
  </si>
  <si>
    <t>Chasseralstrasse 12</t>
  </si>
  <si>
    <t>CHE-107.107.777</t>
  </si>
  <si>
    <t>Wasserverbund Bipperamt AG</t>
  </si>
  <si>
    <t>c/o Finanzverwaltung der Einwohnergemeinde Oberbipp</t>
  </si>
  <si>
    <t>Kirchgasse 5</t>
  </si>
  <si>
    <t>E360000</t>
  </si>
  <si>
    <t>Wasserversorgung</t>
  </si>
  <si>
    <t>CHE-101.101.756</t>
  </si>
  <si>
    <t>Glaston Switzerland AG</t>
  </si>
  <si>
    <t>Industriestrasse 5</t>
  </si>
  <si>
    <t>C284900</t>
  </si>
  <si>
    <t>Herstellung von sonstigen Werkzeugmaschinen</t>
  </si>
  <si>
    <t>CHE-108.108.138</t>
  </si>
  <si>
    <t>LANDI BippGäuThal AG</t>
  </si>
  <si>
    <t>Oltenstrasse 25</t>
  </si>
  <si>
    <t>CHE-107.107.205</t>
  </si>
  <si>
    <t>Thomi + Co AG</t>
  </si>
  <si>
    <t>C141200</t>
  </si>
  <si>
    <t>Herstellung von Arbeits- und Berufsbekleidung</t>
  </si>
  <si>
    <t>CHE-101.101.889</t>
  </si>
  <si>
    <t>Nencki AG</t>
  </si>
  <si>
    <t>Aarwangenstrasse 90</t>
  </si>
  <si>
    <t>C282200</t>
  </si>
  <si>
    <t>Herstellung von Hebezeugen und Fördermitteln</t>
  </si>
  <si>
    <t>CHE-103.103.728</t>
  </si>
  <si>
    <t>Korff AG</t>
  </si>
  <si>
    <t>Niedermattstrasse 35</t>
  </si>
  <si>
    <t>C244200</t>
  </si>
  <si>
    <t>Erzeugung und erste Bearbeitung von Aluminium</t>
  </si>
  <si>
    <t>CHE-101.101.159</t>
  </si>
  <si>
    <t>SCHNEEBERGER AG Lineartechnik</t>
  </si>
  <si>
    <t>St. Urbanstrasse 12</t>
  </si>
  <si>
    <t>CHE-114.114.972</t>
  </si>
  <si>
    <t>LANDI Region Huttwil AG</t>
  </si>
  <si>
    <t>Bernstrasse 62</t>
  </si>
  <si>
    <t>Schwarzenbach (Huttwil)</t>
  </si>
  <si>
    <t>CHE-145.145.618</t>
  </si>
  <si>
    <t>Carvolution AG</t>
  </si>
  <si>
    <t>Neufeldweg 2</t>
  </si>
  <si>
    <t>N771100</t>
  </si>
  <si>
    <t>Vermietung von Automobilen mit einem Gesamtgewicht von 3,5 t oder weniger</t>
  </si>
  <si>
    <t>CHE-130.130.069</t>
  </si>
  <si>
    <t>Haslibrunnen AG</t>
  </si>
  <si>
    <t>Untersteckholzstrasse 1</t>
  </si>
  <si>
    <t>CHE-107.107.138</t>
  </si>
  <si>
    <t>Kuert + Co AG</t>
  </si>
  <si>
    <t>Gaswerkstrasse 48</t>
  </si>
  <si>
    <t>C259300</t>
  </si>
  <si>
    <t>Herstellung von Drahtwaren, Ketten und Federn</t>
  </si>
  <si>
    <t>10-49 Mit.</t>
  </si>
  <si>
    <t>CHE-294.294.430</t>
  </si>
  <si>
    <t>Schwarzenbach Dörfli 6</t>
  </si>
  <si>
    <t>R932900</t>
  </si>
  <si>
    <t>Erbringung von Dienstleistungen der Unterhaltung und der Erholung a. n. g.</t>
  </si>
  <si>
    <t>CHE-105.105.572</t>
  </si>
  <si>
    <t>Bernhard Polybau AG</t>
  </si>
  <si>
    <t>Gaswerkstrasse 63</t>
  </si>
  <si>
    <t>F432901</t>
  </si>
  <si>
    <t>Dämmung gegen Kälte, Wärme, Schall und Erschütterung</t>
  </si>
  <si>
    <t>CHE-107.107.018</t>
  </si>
  <si>
    <t>Lüthi Aufzüge AG</t>
  </si>
  <si>
    <t>Lindenholz 75d</t>
  </si>
  <si>
    <t>Leimiswil</t>
  </si>
  <si>
    <t>CHE-312.312.297</t>
  </si>
  <si>
    <t>Schnyder Ingenieure BE AG</t>
  </si>
  <si>
    <t>Bahnhofstrasse 37</t>
  </si>
  <si>
    <t>Schöni Finefood AG</t>
  </si>
  <si>
    <t>Niedermattstrasse 30</t>
  </si>
  <si>
    <t>C108500</t>
  </si>
  <si>
    <t>Herstellung von Fertiggerichten</t>
  </si>
  <si>
    <t>CHE-108.108.141</t>
  </si>
  <si>
    <t>Moser - Entgratungs AG</t>
  </si>
  <si>
    <t>c/o Moser-Ingold AG</t>
  </si>
  <si>
    <t>Buchsistrasse 40</t>
  </si>
  <si>
    <t>Thörigen</t>
  </si>
  <si>
    <t>CHE-114.114.411</t>
  </si>
  <si>
    <t>Beck &amp; Jäggi Gerüstbau AG</t>
  </si>
  <si>
    <t>Hintergasse 31</t>
  </si>
  <si>
    <t>F439902</t>
  </si>
  <si>
    <t>Gerüstbau</t>
  </si>
  <si>
    <t>CHE-108.108.387</t>
  </si>
  <si>
    <t>Niederhauser Transport AG</t>
  </si>
  <si>
    <t>Dammstrasse 4</t>
  </si>
  <si>
    <t>H494100</t>
  </si>
  <si>
    <t>Güterbeförderung im Strassenverkehr</t>
  </si>
  <si>
    <t>CHE-108.108.464</t>
  </si>
  <si>
    <t>F. Zulauf Messerschmiede + Werkzeugfabrikations AG</t>
  </si>
  <si>
    <t>Dennliweg 29</t>
  </si>
  <si>
    <t>C257300</t>
  </si>
  <si>
    <t>Herstellung von Werkzeugen</t>
  </si>
  <si>
    <t>CHE-321.321.814</t>
  </si>
  <si>
    <t>FG Corp Swiss AG</t>
  </si>
  <si>
    <t>Brunnhofstrasse 11</t>
  </si>
  <si>
    <t>Eriswil</t>
  </si>
  <si>
    <t>M711205</t>
  </si>
  <si>
    <t>Sonstige technische Beratung und Planung</t>
  </si>
  <si>
    <t>CHE-104.104.846</t>
  </si>
  <si>
    <t>Arbe Generalunternehmung AG</t>
  </si>
  <si>
    <t>Mittelstrasse 22</t>
  </si>
  <si>
    <t>CHE-270.270.340</t>
  </si>
  <si>
    <t>Woodwarm AG</t>
  </si>
  <si>
    <t>Industriestrasse 8</t>
  </si>
  <si>
    <t>CHE-108.108.061</t>
  </si>
  <si>
    <t>Fames AG</t>
  </si>
  <si>
    <t>Leenrütimattweg 4</t>
  </si>
  <si>
    <t>C251100</t>
  </si>
  <si>
    <t>Herstellung von Metallkonstruktionen</t>
  </si>
  <si>
    <t>CHE-189.189.334</t>
  </si>
  <si>
    <t>X10D AG</t>
  </si>
  <si>
    <t>c/o Schumacher Sport AG</t>
  </si>
  <si>
    <t>Wiesenstrasse 1</t>
  </si>
  <si>
    <t>C152000</t>
  </si>
  <si>
    <t>Herstellung von Schuhen</t>
  </si>
  <si>
    <t>CHE-104.104.823</t>
  </si>
  <si>
    <t>Digital Druckcenter Langenthal AG</t>
  </si>
  <si>
    <t>Bahnhofstr. 8</t>
  </si>
  <si>
    <t>C181302</t>
  </si>
  <si>
    <t>Erbringung von sonstigen druckbezogenen Dienstleistungen a. n. g.</t>
  </si>
  <si>
    <t>CHE-102.102.118</t>
  </si>
  <si>
    <t>Porzellanfabrik Langenthal AG</t>
  </si>
  <si>
    <t>Bleienbachstrasse 22</t>
  </si>
  <si>
    <t>C234100</t>
  </si>
  <si>
    <t>Herstellung von keramischen Haushaltswaren und Ziergegenständen</t>
  </si>
  <si>
    <t>CHE-113.113.462</t>
  </si>
  <si>
    <t>Carnosa AG</t>
  </si>
  <si>
    <t>Gaswerkstrasse 76</t>
  </si>
  <si>
    <t>C101300</t>
  </si>
  <si>
    <t>Fleischverarbeitung</t>
  </si>
  <si>
    <t>CHE-415.415.014</t>
  </si>
  <si>
    <t>KREUZ Herzogenbuchsee Immobilien AG</t>
  </si>
  <si>
    <t>CHE-107.107.224</t>
  </si>
  <si>
    <t>H.W. Schaumann AG</t>
  </si>
  <si>
    <t>Murgenthalstrasse 67b</t>
  </si>
  <si>
    <t>G462100</t>
  </si>
  <si>
    <t>Grosshandel mit Getreide, Rohtabak, Saatgut und Futtermitteln</t>
  </si>
  <si>
    <t>CHE-102.102.805</t>
  </si>
  <si>
    <t>Ernst Ingold + Co. AG</t>
  </si>
  <si>
    <t>Hintergasse 16</t>
  </si>
  <si>
    <t>C172300</t>
  </si>
  <si>
    <t>Herstellung von Schreibwaren und Bürobedarf aus Papier, Karton und Pappe</t>
  </si>
  <si>
    <t>CHE-102.102.022</t>
  </si>
  <si>
    <t>Schärer Holz AG</t>
  </si>
  <si>
    <t>Bleienbachstrasse 60</t>
  </si>
  <si>
    <t>C161002</t>
  </si>
  <si>
    <t>Holzhobelwerke und Holzoberflächenbehandlung</t>
  </si>
  <si>
    <t>CHE-107.107.017</t>
  </si>
  <si>
    <t>Waterjet Holding AG</t>
  </si>
  <si>
    <t>Mittelstrasse 8</t>
  </si>
  <si>
    <t>CHE-112.112.537</t>
  </si>
  <si>
    <t>Genossenschaft Solidarität</t>
  </si>
  <si>
    <t>Marktgasse 18</t>
  </si>
  <si>
    <t>CHE-103.103.774</t>
  </si>
  <si>
    <t>Weingartenstrasse 5</t>
  </si>
  <si>
    <t>CHE-102.102.085</t>
  </si>
  <si>
    <t>Jacques Sommer AG</t>
  </si>
  <si>
    <t>Bleienbachstrasse 6</t>
  </si>
  <si>
    <t>C131001</t>
  </si>
  <si>
    <t>Baumwollaufbereitung und -spinnerei</t>
  </si>
  <si>
    <t>CHE-107.107.820</t>
  </si>
  <si>
    <t>Dafag Dach- + Fassadensysteme AG</t>
  </si>
  <si>
    <t>Wangenstrasse 71</t>
  </si>
  <si>
    <t>F439103</t>
  </si>
  <si>
    <t>Bauspenglerei</t>
  </si>
  <si>
    <t>CHE-102.102.973</t>
  </si>
  <si>
    <t>Merkur Druck Holding AG</t>
  </si>
  <si>
    <t>Gaswerkstrasse 56</t>
  </si>
  <si>
    <t>CHE-102.102.187</t>
  </si>
  <si>
    <t>kummerpartner Architekten und Planer AG</t>
  </si>
  <si>
    <t>Rosenweg 19</t>
  </si>
  <si>
    <t>Chasseralstrasse 3</t>
  </si>
  <si>
    <t>M702200</t>
  </si>
  <si>
    <t>Unternehmensberatung</t>
  </si>
  <si>
    <t>CHE-107.107.826</t>
  </si>
  <si>
    <t>AC Profil AG</t>
  </si>
  <si>
    <t>C222100</t>
  </si>
  <si>
    <t>Herstellung von Platten, Folien, Schläuchen und Profilen aus Kunststoffen</t>
  </si>
  <si>
    <t>CHE-112.112.860</t>
  </si>
  <si>
    <t>Apotheke Dr. Lanz AG</t>
  </si>
  <si>
    <t>Marktgasse 27</t>
  </si>
  <si>
    <t>G477300</t>
  </si>
  <si>
    <t>Apotheken</t>
  </si>
  <si>
    <t>CHE-109.109.587</t>
  </si>
  <si>
    <t>Dorfbeck Nyfeler AG</t>
  </si>
  <si>
    <t>Langenthalstrasse 19</t>
  </si>
  <si>
    <t>C107100</t>
  </si>
  <si>
    <t>Herstellung von Backwaren (ohne Dauerbackwaren)</t>
  </si>
  <si>
    <t>CHE-103.103.926</t>
  </si>
  <si>
    <t>MS-Technologie AG</t>
  </si>
  <si>
    <t>Hofmattstrasse 12</t>
  </si>
  <si>
    <t>F432204</t>
  </si>
  <si>
    <t>lnstallation von Heizungs-, Lüftungs- und Klimaanlagen</t>
  </si>
  <si>
    <t>CHE-100.100.138</t>
  </si>
  <si>
    <t>Bützbergstrasse 2</t>
  </si>
  <si>
    <t>G463900</t>
  </si>
  <si>
    <t>Grosshandel mit Nahrungs- und Genussmitteln, Getränken und Tabakwaren, ohne ausgeprägten Schwerpunkt</t>
  </si>
  <si>
    <t>CHE-167.167.474</t>
  </si>
  <si>
    <t>Carrosserie Gabi AG</t>
  </si>
  <si>
    <t>Renkholzweg 4</t>
  </si>
  <si>
    <t>CHE-103.103.523</t>
  </si>
  <si>
    <t>HSH Handling Systems AG</t>
  </si>
  <si>
    <t>Wangenstrasse 96</t>
  </si>
  <si>
    <t>CHE-492.492.938</t>
  </si>
  <si>
    <t>E &amp; F Abbundwerk AG</t>
  </si>
  <si>
    <t>Buchsistrasse 4</t>
  </si>
  <si>
    <t>CHE-103.103.374</t>
  </si>
  <si>
    <t>Wälchli &amp; Partner AG</t>
  </si>
  <si>
    <t>M711201</t>
  </si>
  <si>
    <t>Bau-Ingenieurbüros</t>
  </si>
  <si>
    <t>Byfang 1</t>
  </si>
  <si>
    <t>CHE-100.100.496</t>
  </si>
  <si>
    <t>Nencki ECL AG</t>
  </si>
  <si>
    <t>c/o Nencki AG</t>
  </si>
  <si>
    <t>CHE-107.107.696</t>
  </si>
  <si>
    <t>Gedex Getränke AG</t>
  </si>
  <si>
    <t>Luzernstrasse 78</t>
  </si>
  <si>
    <t>G472500</t>
  </si>
  <si>
    <t>Detailhandel mit Getränken</t>
  </si>
  <si>
    <t>CHE-234.234.260</t>
  </si>
  <si>
    <t>Gustovent GmbH</t>
  </si>
  <si>
    <t>CHE-108.108.199</t>
  </si>
  <si>
    <t>Ingold Sport AG</t>
  </si>
  <si>
    <t>Kirchgasse 6</t>
  </si>
  <si>
    <t>G476402</t>
  </si>
  <si>
    <t>Detailhandel mit Sportartikeln</t>
  </si>
  <si>
    <t>CHE-107.107.745</t>
  </si>
  <si>
    <t>HP Lanz AG</t>
  </si>
  <si>
    <t>Brückenstrasse 13</t>
  </si>
  <si>
    <t>C162301</t>
  </si>
  <si>
    <t>Bauschreinerei, Fenster und Türen</t>
  </si>
  <si>
    <t>CHE-176.176.925</t>
  </si>
  <si>
    <t>Biketec GmbH</t>
  </si>
  <si>
    <t>Luzernstrasse 84</t>
  </si>
  <si>
    <t>G476401</t>
  </si>
  <si>
    <t>Detailhandel mit Fahrrädern</t>
  </si>
  <si>
    <t>CHE-179.179.757</t>
  </si>
  <si>
    <t>WV Rohrbach AG</t>
  </si>
  <si>
    <t>Allmendstrasse 12</t>
  </si>
  <si>
    <t>Rohrbach</t>
  </si>
  <si>
    <t>D353000</t>
  </si>
  <si>
    <t>Wärme- und Kälteversorgung</t>
  </si>
  <si>
    <t>CHE-107.107.071</t>
  </si>
  <si>
    <t>Günther Zimmerei- und Bedachungs-AG</t>
  </si>
  <si>
    <t>Moselenweg 1</t>
  </si>
  <si>
    <t>F439101</t>
  </si>
  <si>
    <t>Holzbau, Zimmerei</t>
  </si>
  <si>
    <t>CHE-108.108.651</t>
  </si>
  <si>
    <t>Obrasso-Verlag AG</t>
  </si>
  <si>
    <t>Baselstrasse 23 C</t>
  </si>
  <si>
    <t>J592000</t>
  </si>
  <si>
    <t>Tonstudios; Herstellung von Radiobeiträgen; Verlegen von bespielten Tonträgern und Musikalien</t>
  </si>
  <si>
    <t>CHE-107.107.656</t>
  </si>
  <si>
    <t>TRÜSSEL AG</t>
  </si>
  <si>
    <t>CHE-394.394.730</t>
  </si>
  <si>
    <t>Renercon Huttwil AG</t>
  </si>
  <si>
    <t>c/o Johann Ulrich Grädel</t>
  </si>
  <si>
    <t>Bäch 4</t>
  </si>
  <si>
    <t>CHE-107.107.099</t>
  </si>
  <si>
    <t>Käsereigenossenschaft Thörigen</t>
  </si>
  <si>
    <t>Burgdorfstrasse 15</t>
  </si>
  <si>
    <t>S949904</t>
  </si>
  <si>
    <t>Sonstige Interessenvertretungen und Vereinigungen a. n. g.</t>
  </si>
  <si>
    <t>G452001</t>
  </si>
  <si>
    <t>lnstandhaltung und Reparatur von Automobilen</t>
  </si>
  <si>
    <t>CHE-102.102.051</t>
  </si>
  <si>
    <t>Forum A GmbH</t>
  </si>
  <si>
    <t>Feldstrasse 12</t>
  </si>
  <si>
    <t>CHE-102.102.126</t>
  </si>
  <si>
    <t>sonnebuxta gmbh</t>
  </si>
  <si>
    <t>Zuerichstrasse 2</t>
  </si>
  <si>
    <t>CHE-153.153.135</t>
  </si>
  <si>
    <t>Sorglos Design AG</t>
  </si>
  <si>
    <t>Dorfstrasse 22</t>
  </si>
  <si>
    <t>G464700</t>
  </si>
  <si>
    <t>Grosshandel mit Möbeln, Teppichen, Lampen und Leuchten</t>
  </si>
  <si>
    <t>CHE-114.114.824</t>
  </si>
  <si>
    <t>Masshard Swisskraut AG</t>
  </si>
  <si>
    <t>G463100</t>
  </si>
  <si>
    <t>Grosshandel mit Obst, Gemüse und Kartoffeln</t>
  </si>
  <si>
    <t>CHE-107.107.858</t>
  </si>
  <si>
    <t>Franz Flückiger AG</t>
  </si>
  <si>
    <t>Dennliweg 19</t>
  </si>
  <si>
    <t>F439102</t>
  </si>
  <si>
    <t>Dachdeckerei</t>
  </si>
  <si>
    <t>CHE-101.101.216</t>
  </si>
  <si>
    <t>Wesa AG</t>
  </si>
  <si>
    <t>Aegelseestrasse 2</t>
  </si>
  <si>
    <t>Inkwil</t>
  </si>
  <si>
    <t>C222900</t>
  </si>
  <si>
    <t>Herstellung von sonstigen Kunststoffwaren</t>
  </si>
  <si>
    <t>Madiswil</t>
  </si>
  <si>
    <t>Q862100</t>
  </si>
  <si>
    <t>Arztpraxen für Allgemeinmedizin</t>
  </si>
  <si>
    <t>CHE-103.103.818</t>
  </si>
  <si>
    <t>Rohr Immo AG</t>
  </si>
  <si>
    <t>Steingasse 20</t>
  </si>
  <si>
    <t>CHE-102.102.417</t>
  </si>
  <si>
    <t>Räss Trennwände Schränke AG</t>
  </si>
  <si>
    <t>Byfangweg 18</t>
  </si>
  <si>
    <t>C162302</t>
  </si>
  <si>
    <t>Schreinerarbeiten im Innenausbau</t>
  </si>
  <si>
    <t>CHE-426.426.081</t>
  </si>
  <si>
    <t>Holmag AG</t>
  </si>
  <si>
    <t>Haltestelle 170</t>
  </si>
  <si>
    <t>Gondiswil</t>
  </si>
  <si>
    <t>CHE-107.107.107</t>
  </si>
  <si>
    <t>Allemann Automobil AG</t>
  </si>
  <si>
    <t>Baselstrasse 18</t>
  </si>
  <si>
    <t>CHE-107.107.807</t>
  </si>
  <si>
    <t>Tanklager Oberbipp AG</t>
  </si>
  <si>
    <t>Industriestrasse 23</t>
  </si>
  <si>
    <t>CHE-138.138.644</t>
  </si>
  <si>
    <t>Daetwyler SwissTec AG</t>
  </si>
  <si>
    <t>C289901</t>
  </si>
  <si>
    <t>Herstellung von Maschinen für die Herstellung von Druckerzeugnissen</t>
  </si>
  <si>
    <t>CHE-102.102.450</t>
  </si>
  <si>
    <t>Dörflinger + Partner AG</t>
  </si>
  <si>
    <t>Sternenstrasse 25</t>
  </si>
  <si>
    <t>CHE-114.114.486</t>
  </si>
  <si>
    <t>Schulze Elektro AG</t>
  </si>
  <si>
    <t>Stadthausstrasse 4</t>
  </si>
  <si>
    <t>CHE-110.110.291</t>
  </si>
  <si>
    <t>Niederhauser Landmaschinen AG</t>
  </si>
  <si>
    <t>CHE-106.106.594</t>
  </si>
  <si>
    <t>H.R. Grogg AG</t>
  </si>
  <si>
    <t>Schulhausstrasse 4</t>
  </si>
  <si>
    <t>CHE-390.390.751</t>
  </si>
  <si>
    <t>Schultheissenstrasse 10</t>
  </si>
  <si>
    <t>CHE-107.107.917</t>
  </si>
  <si>
    <t>Garage Stucki AG</t>
  </si>
  <si>
    <t>St. Urbanstrasse 35</t>
  </si>
  <si>
    <t>CHE-346.346.838</t>
  </si>
  <si>
    <t>Hector Egger Gesamtdienstleistung AG</t>
  </si>
  <si>
    <t>c/o Hector Egger Holzbau AG</t>
  </si>
  <si>
    <t>Steinackerweg 18</t>
  </si>
  <si>
    <t>Ernst Gerber AG</t>
  </si>
  <si>
    <t>Mumenthalstrasse 5</t>
  </si>
  <si>
    <t>Roggwil</t>
  </si>
  <si>
    <t>H493901</t>
  </si>
  <si>
    <t>Nicht-regelmässiger Personenbeförderung im Landverkehr</t>
  </si>
  <si>
    <t>CHE-102.102.551</t>
  </si>
  <si>
    <t>Schürch &amp; Co. A.G., Säge- und Hobelwerk, Autotransporte und Baumaterialien, Huttwil</t>
  </si>
  <si>
    <t>Luzernstrasse 24</t>
  </si>
  <si>
    <t>C161001</t>
  </si>
  <si>
    <t>Sägewerke</t>
  </si>
  <si>
    <t>CHE-102.102.054</t>
  </si>
  <si>
    <t>Hans Rhyn AG</t>
  </si>
  <si>
    <t>Burgdorfstrasse 11</t>
  </si>
  <si>
    <t>Bollodingen</t>
  </si>
  <si>
    <t>CHE-114.114.190</t>
  </si>
  <si>
    <t>Schöni Cars AG</t>
  </si>
  <si>
    <t>Bernstrasse 31</t>
  </si>
  <si>
    <t>Wynau</t>
  </si>
  <si>
    <t>G451102</t>
  </si>
  <si>
    <t>Detailhandel mit Automobilen mit einem Gesamtgewicht von 3,5 t oder weniger</t>
  </si>
  <si>
    <t>CHE-114.114.060</t>
  </si>
  <si>
    <t>Werkbetriebe Wynau (WBW)</t>
  </si>
  <si>
    <t>Institut des öffentlichen Rechts</t>
  </si>
  <si>
    <t>c/o Einwohnergemeinde Wynau Gemeindeverwaltung</t>
  </si>
  <si>
    <t>Schulhausstrasse 22</t>
  </si>
  <si>
    <t>CHE-144.144.200</t>
  </si>
  <si>
    <t>Suisselearn Media AG</t>
  </si>
  <si>
    <t>CHE-428.428.829</t>
  </si>
  <si>
    <t>TOPMILCH AG</t>
  </si>
  <si>
    <t>Langenthalstrasse 6</t>
  </si>
  <si>
    <t>CHE-101.101.954</t>
  </si>
  <si>
    <t>Giesser AG</t>
  </si>
  <si>
    <t>Dennliweg 35</t>
  </si>
  <si>
    <t>F433402</t>
  </si>
  <si>
    <t>Malerei und Gipserei ohne ausgeprägten Schwerpunkt</t>
  </si>
  <si>
    <t>CHE-418.418.725</t>
  </si>
  <si>
    <t>Idealbau Architektur AG</t>
  </si>
  <si>
    <t>Schlossstrasse 3</t>
  </si>
  <si>
    <t>Wartmann Technologie AG</t>
  </si>
  <si>
    <t>CHE-174.174.121</t>
  </si>
  <si>
    <t>Infrarent AG</t>
  </si>
  <si>
    <t>Eisenbahnstrasse 1</t>
  </si>
  <si>
    <t>CHE-105.105.285</t>
  </si>
  <si>
    <t>Hans Greub AG, Lotzwil</t>
  </si>
  <si>
    <t>Flurstr. 40</t>
  </si>
  <si>
    <t>C252100</t>
  </si>
  <si>
    <t>Herstellung von Heizkörpern und –kesseln für Zentralheizungen</t>
  </si>
  <si>
    <t>CHE-356.356.154</t>
  </si>
  <si>
    <t>MDC Max Daetwyler AG</t>
  </si>
  <si>
    <t>C289902</t>
  </si>
  <si>
    <t>Sonstige Herstellung von Maschinen für sonstige bestimmte Wirtschaftszweige a. n. g.</t>
  </si>
  <si>
    <t>CHE-107.107.122</t>
  </si>
  <si>
    <t>BIOFARM-Genossenschaft</t>
  </si>
  <si>
    <t>Kleindietwil</t>
  </si>
  <si>
    <t>CHE-105.105.620</t>
  </si>
  <si>
    <t>Minder Mode AG</t>
  </si>
  <si>
    <t>Bahnhofstrasse 21</t>
  </si>
  <si>
    <t>G477101</t>
  </si>
  <si>
    <t>Detailhandel mit Damenbekleidung</t>
  </si>
  <si>
    <t>CHE-106.106.076</t>
  </si>
  <si>
    <t>E. GRÜTTER AG</t>
  </si>
  <si>
    <t>Mumenthalstrasse 3</t>
  </si>
  <si>
    <t>CHE-107.107.245</t>
  </si>
  <si>
    <t>W. u. H. Schneider AG</t>
  </si>
  <si>
    <t>Schwarzenbach 23L</t>
  </si>
  <si>
    <t>Untersteckholz</t>
  </si>
  <si>
    <t>C331200</t>
  </si>
  <si>
    <t>Reparatur von Maschinen</t>
  </si>
  <si>
    <t>CHE-107.107.079</t>
  </si>
  <si>
    <t>Seiler &amp; Co. AG Madiswil</t>
  </si>
  <si>
    <t>CHE-113.113.596</t>
  </si>
  <si>
    <t>UP Metalltechnik AG</t>
  </si>
  <si>
    <t>Bützbergstrasse 31</t>
  </si>
  <si>
    <t>C259900</t>
  </si>
  <si>
    <t>Herstellung von sonstigen Metallwaren a. n. g.</t>
  </si>
  <si>
    <t>CHE-101.101.329</t>
  </si>
  <si>
    <t>log.com holding ag</t>
  </si>
  <si>
    <t>CHE-107.107.401</t>
  </si>
  <si>
    <t>AESCHLIMANN HOTELBEDARF AG</t>
  </si>
  <si>
    <t>Flugplatz 22</t>
  </si>
  <si>
    <t>C289300</t>
  </si>
  <si>
    <t>Herstellung von Maschinen für die Nahrungs- und Genussmittelerzeugung und die Tabakverarbeitung</t>
  </si>
  <si>
    <t>CHE-246.246.205</t>
  </si>
  <si>
    <t>Bärtschi Werkzeuge &amp; Maschinen AG</t>
  </si>
  <si>
    <t>Wangenstrasse 46</t>
  </si>
  <si>
    <t>G475202</t>
  </si>
  <si>
    <t>Sonstiger Detailhandel mit Metallwaren, Anstrichmitteln, Bau- und Heimwerkerbedarf</t>
  </si>
  <si>
    <t>CHE-109.109.746</t>
  </si>
  <si>
    <t>Industriestrasse 3</t>
  </si>
  <si>
    <t>CHE-107.107.200</t>
  </si>
  <si>
    <t>Markus Held AG, 4932 Lotzwil</t>
  </si>
  <si>
    <t>Kohlplatzstrasse 13</t>
  </si>
  <si>
    <t>C281500</t>
  </si>
  <si>
    <t>Herstellung von Lagern, Getrieben, Zahnrädern und Antriebselementen</t>
  </si>
  <si>
    <t>CHE-107.107.157</t>
  </si>
  <si>
    <t>Metzgerei Tschanz AG</t>
  </si>
  <si>
    <t>Hauptstrasse 12</t>
  </si>
  <si>
    <t>CHE-113.113.019</t>
  </si>
  <si>
    <t>Witschi Immobilien AG</t>
  </si>
  <si>
    <t>CHE-109.109.524</t>
  </si>
  <si>
    <t>blumatech ag</t>
  </si>
  <si>
    <t>Steingasse 2a</t>
  </si>
  <si>
    <t>CHE-109.109.633</t>
  </si>
  <si>
    <t>SR Management AG</t>
  </si>
  <si>
    <t>CHE-112.112.944</t>
  </si>
  <si>
    <t>Infrajet AG</t>
  </si>
  <si>
    <t>CHE-420.420.230</t>
  </si>
  <si>
    <t>Gasthof zum Bären Niederbipp AG</t>
  </si>
  <si>
    <t>Marktgasse 1</t>
  </si>
  <si>
    <t>I561001</t>
  </si>
  <si>
    <t>Restaurants, Imbissstuben, Tea-Rooms und Gelaterias</t>
  </si>
  <si>
    <t>CHE-307.307.309</t>
  </si>
  <si>
    <t>reitsport.ch Arena AG</t>
  </si>
  <si>
    <t>CHE-107.107.716</t>
  </si>
  <si>
    <t>Schlossfabrik Heusser AG</t>
  </si>
  <si>
    <t>Murgenthal</t>
  </si>
  <si>
    <t>C257200</t>
  </si>
  <si>
    <t>Herstellung von Schlössern und Beschlägen aus unedlen Metallen</t>
  </si>
  <si>
    <t>CHE-103.103.852</t>
  </si>
  <si>
    <t>TOPTECH AG LANGENTHAL</t>
  </si>
  <si>
    <t>CHE-107.107.590</t>
  </si>
  <si>
    <t>Niederhauser Mode AG</t>
  </si>
  <si>
    <t>Marktgasse 7a</t>
  </si>
  <si>
    <t>G477105</t>
  </si>
  <si>
    <t>Detailhandel mit Bekleidungszubehör und Bekleidung ohne ausgeprägten Schwerpunkt</t>
  </si>
  <si>
    <t>CHE-320.320.792</t>
  </si>
  <si>
    <t>HasliPraxis AG</t>
  </si>
  <si>
    <t>St. Urbanstrasse 40</t>
  </si>
  <si>
    <t>CHE-106.106.397</t>
  </si>
  <si>
    <t>Waterjet AG</t>
  </si>
  <si>
    <t>F439905</t>
  </si>
  <si>
    <t>Sonstiger spezialisierter Hoch- und Tiefbau a. n. g.</t>
  </si>
  <si>
    <t>CHE-108.108.652</t>
  </si>
  <si>
    <t>SIEGRIST INGENIEUR- UND PLANUNGSBÜRO AG</t>
  </si>
  <si>
    <t>Weidackerstrasse 1</t>
  </si>
  <si>
    <t>CHE-226.226.138</t>
  </si>
  <si>
    <t>Schöni Rent AG</t>
  </si>
  <si>
    <t>CHE-348.348.317</t>
  </si>
  <si>
    <t>CFU GmbH</t>
  </si>
  <si>
    <t>J620100</t>
  </si>
  <si>
    <t>Programmierungstätigkeiten</t>
  </si>
  <si>
    <t>CHE-106.106.617</t>
  </si>
  <si>
    <t>galtec AG</t>
  </si>
  <si>
    <t>C256100</t>
  </si>
  <si>
    <t>Oberflächenveredlung und Wärmebehandlung</t>
  </si>
  <si>
    <t>CHE-103.103.909</t>
  </si>
  <si>
    <t>Merkur Zeitungsdruck AG</t>
  </si>
  <si>
    <t>C181201</t>
  </si>
  <si>
    <t>Offsetdruck</t>
  </si>
  <si>
    <t>CHE-108.108.306</t>
  </si>
  <si>
    <t>Witschi Detox AG</t>
  </si>
  <si>
    <t>E382100</t>
  </si>
  <si>
    <t>Behandlung und Beseitigung nicht gefährlicher Abfälle</t>
  </si>
  <si>
    <t>CHE-103.103.876</t>
  </si>
  <si>
    <t>Indawisa Holding AG</t>
  </si>
  <si>
    <t>c/o Walter Ingold</t>
  </si>
  <si>
    <t>Falkenweg 8</t>
  </si>
  <si>
    <t>CHE-102.102.204</t>
  </si>
  <si>
    <t>FBT Fahrzeug und Maschinenbau AG</t>
  </si>
  <si>
    <t>Buchsistrasse 18</t>
  </si>
  <si>
    <t>C293200</t>
  </si>
  <si>
    <t>Herstellung von sonstigen Teilen und sonstigem Zubehör für Automobile</t>
  </si>
  <si>
    <t>CHE-251.251.711</t>
  </si>
  <si>
    <t>Buchsiness GmbH</t>
  </si>
  <si>
    <t>Bernstrasse 8</t>
  </si>
  <si>
    <t>Flugplatz 8</t>
  </si>
  <si>
    <t>CHE-107.107.219</t>
  </si>
  <si>
    <t>Ambotec AG</t>
  </si>
  <si>
    <t>Gaswerkstrasse 59</t>
  </si>
  <si>
    <t>CHE-146.146.041</t>
  </si>
  <si>
    <t>Moselenweg 6</t>
  </si>
  <si>
    <t>CHE-115.115.317</t>
  </si>
  <si>
    <t>Zaugg Finanz AG</t>
  </si>
  <si>
    <t>CHE-108.108.050</t>
  </si>
  <si>
    <t>Pro Tool AG</t>
  </si>
  <si>
    <t>Eisenbahnstrasse 4</t>
  </si>
  <si>
    <t>CHE-105.105.708</t>
  </si>
  <si>
    <t>Rikli AG</t>
  </si>
  <si>
    <t>Dorfstrasse 77</t>
  </si>
  <si>
    <t>Wangenried</t>
  </si>
  <si>
    <t>CHE-105.105.105</t>
  </si>
  <si>
    <t>Roth &amp; Cie AG</t>
  </si>
  <si>
    <t>Schulhausstrasse 6</t>
  </si>
  <si>
    <t>C310300</t>
  </si>
  <si>
    <t>Herstellung von Matratzen</t>
  </si>
  <si>
    <t>CHE-105.105.009</t>
  </si>
  <si>
    <t>Gedex Immobilien AG</t>
  </si>
  <si>
    <t>CHE-108.108.103</t>
  </si>
  <si>
    <t>Createch AG</t>
  </si>
  <si>
    <t>CHE-105.105.835</t>
  </si>
  <si>
    <t>Zaugg Immobilien AG</t>
  </si>
  <si>
    <t>L682002</t>
  </si>
  <si>
    <t>Vermietung und Verpachtung von eigenen oder geleasten Gebäuden und Wohnungen</t>
  </si>
  <si>
    <t>CHE-113.113.795</t>
  </si>
  <si>
    <t>Elektro Kohler AG</t>
  </si>
  <si>
    <t>Oberdorfstrasse 6</t>
  </si>
  <si>
    <t>CHE-108.108.970</t>
  </si>
  <si>
    <t>GEISER petro.com ag</t>
  </si>
  <si>
    <t>G473000</t>
  </si>
  <si>
    <t>Detailhandel mit Motorenkraftstoffen (Tankstellen)</t>
  </si>
  <si>
    <t>CHE-108.108.053</t>
  </si>
  <si>
    <t>ASAG Air System AG</t>
  </si>
  <si>
    <t>M711202</t>
  </si>
  <si>
    <t>Gebäudetechnik-Ingenieurbüros</t>
  </si>
  <si>
    <t>CHE-108.108.624</t>
  </si>
  <si>
    <t>G475100</t>
  </si>
  <si>
    <t>Detailhandel mit Textilien</t>
  </si>
  <si>
    <t>CHE-107.107.550</t>
  </si>
  <si>
    <t>Touring-Garage AG Huttwil</t>
  </si>
  <si>
    <t>Luzernstrasse 76</t>
  </si>
  <si>
    <t>CHE-115.115.170</t>
  </si>
  <si>
    <t>Mydomi GmbH</t>
  </si>
  <si>
    <t>St. Urbanstrasse 34</t>
  </si>
  <si>
    <t>I562100</t>
  </si>
  <si>
    <t>Event-Caterer</t>
  </si>
  <si>
    <t>CHE-105.105.760</t>
  </si>
  <si>
    <t>Autospritzwerk Müller AG</t>
  </si>
  <si>
    <t>Renkholzweg 2</t>
  </si>
  <si>
    <t>CHE-105.105.081</t>
  </si>
  <si>
    <t>Ammobilien AG</t>
  </si>
  <si>
    <t>L681000</t>
  </si>
  <si>
    <t>Kauf und Verkauf von eigenen Grundstücken, Gebäuden und Wohnungen</t>
  </si>
  <si>
    <t>CHE-222.222.870</t>
  </si>
  <si>
    <t>Provisorium Betriebs GmbH</t>
  </si>
  <si>
    <t>Mühleweg 16</t>
  </si>
  <si>
    <t>I563001</t>
  </si>
  <si>
    <t>Bars</t>
  </si>
  <si>
    <t>CHE-109.109.742</t>
  </si>
  <si>
    <t>Baltensperger Transport AG</t>
  </si>
  <si>
    <t>Dursch 195</t>
  </si>
  <si>
    <t>CHE-101.101.588</t>
  </si>
  <si>
    <t>Regionalis Immobilien AG</t>
  </si>
  <si>
    <t>Jurastrasse 29</t>
  </si>
  <si>
    <t>CHE-101.101.344</t>
  </si>
  <si>
    <t>MDC Max Daetwyler AG Ursenbach</t>
  </si>
  <si>
    <t>Hauptstrasse 141</t>
  </si>
  <si>
    <t>Ursenbach</t>
  </si>
  <si>
    <t>CHE-106.106.089</t>
  </si>
  <si>
    <t>FATOR GmbH</t>
  </si>
  <si>
    <t>Luzernstrasse 71</t>
  </si>
  <si>
    <t>G467302</t>
  </si>
  <si>
    <t>Grosshandel mit Baustoffen</t>
  </si>
  <si>
    <t>CHE-389.389.995</t>
  </si>
  <si>
    <t>Flückiger Emmentaler Spezialitäten AG</t>
  </si>
  <si>
    <t>Bahnhofstrasse 5</t>
  </si>
  <si>
    <t>CHE-409.409.788</t>
  </si>
  <si>
    <t>atexxi Systems AG</t>
  </si>
  <si>
    <t>CHE-107.107.585</t>
  </si>
  <si>
    <t>Hiltbrunner AG</t>
  </si>
  <si>
    <t>Hopferenstrasse 2</t>
  </si>
  <si>
    <t>Riedtwil</t>
  </si>
  <si>
    <t>F411000</t>
  </si>
  <si>
    <t>Entwicklung von Bauprojekten</t>
  </si>
  <si>
    <t>CHE-104.104.406</t>
  </si>
  <si>
    <t>Elektro W. Siegrist AG</t>
  </si>
  <si>
    <t>Lotzwilstrasse 70</t>
  </si>
  <si>
    <t>CHE-107.107.980</t>
  </si>
  <si>
    <t>FANKHAUSER AG HUTTWIL, Rohrbach</t>
  </si>
  <si>
    <t>Walke 1</t>
  </si>
  <si>
    <t>C292000</t>
  </si>
  <si>
    <t>Herstellung von Karosserien, Aufbauten und Anhängern</t>
  </si>
  <si>
    <t>CHE-109.109.994</t>
  </si>
  <si>
    <t>calac GmbH</t>
  </si>
  <si>
    <t>Metzgermattstrasse 3</t>
  </si>
  <si>
    <t>CHE-105.105.730</t>
  </si>
  <si>
    <t>Müller Transporte Niederbipp AG</t>
  </si>
  <si>
    <t>Buchlistrasse 47</t>
  </si>
  <si>
    <t>CHE-112.112.302</t>
  </si>
  <si>
    <t>SBL Invest GmbH</t>
  </si>
  <si>
    <t>Marktgasse 42</t>
  </si>
  <si>
    <t>CHE-107.107.646</t>
  </si>
  <si>
    <t>Käsereigenossenschaft Dürrenbühl</t>
  </si>
  <si>
    <t>c/o E. Staub</t>
  </si>
  <si>
    <t>Bürler 152</t>
  </si>
  <si>
    <t>G472901</t>
  </si>
  <si>
    <t>Detailhandel mit Milcherzeugnissen und Eiern</t>
  </si>
  <si>
    <t>CHE-101.101.266</t>
  </si>
  <si>
    <t>Max Kneubühler Gerüstbau AG</t>
  </si>
  <si>
    <t>Fenchackerweg 8</t>
  </si>
  <si>
    <t>CHE-296.296.957</t>
  </si>
  <si>
    <t>Moto Strahm AG</t>
  </si>
  <si>
    <t>Unterdorfstrasse 16</t>
  </si>
  <si>
    <t>G454000</t>
  </si>
  <si>
    <t>Handel mit Motorrädern, Kraftradteilen und -zubehör; Instandhaltung und Reparatur von Motorrädern</t>
  </si>
  <si>
    <t>CHE-112.112.296</t>
  </si>
  <si>
    <t>Zaugg AG Rohrbach</t>
  </si>
  <si>
    <t>Walke 2</t>
  </si>
  <si>
    <t>CHE-490.490.604</t>
  </si>
  <si>
    <t>Gerber &amp; Reinmann AG</t>
  </si>
  <si>
    <t>Moosbachstrasse 9</t>
  </si>
  <si>
    <t>Schwarzhäusern</t>
  </si>
  <si>
    <t>CHE-109.109.184</t>
  </si>
  <si>
    <t>LMG Landmaschinen AG Grasswil</t>
  </si>
  <si>
    <t>Grasswil</t>
  </si>
  <si>
    <t>CHE-102.102.156</t>
  </si>
  <si>
    <t>Jorns AG</t>
  </si>
  <si>
    <t>Kirchgasse 12</t>
  </si>
  <si>
    <t>CHE-106.106.683</t>
  </si>
  <si>
    <t>Lüscher Egli AG</t>
  </si>
  <si>
    <t>Farbgasse 26</t>
  </si>
  <si>
    <t>CHE-139.139.526</t>
  </si>
  <si>
    <t>Landstrasse 53</t>
  </si>
  <si>
    <t>G477805</t>
  </si>
  <si>
    <t>Kunsthandel</t>
  </si>
  <si>
    <t>CHE-108.108.433</t>
  </si>
  <si>
    <t>SchneebergerHaus GmbH</t>
  </si>
  <si>
    <t>Hof 69</t>
  </si>
  <si>
    <t>Oeschenbach</t>
  </si>
  <si>
    <t>CHE-198.198.843</t>
  </si>
  <si>
    <t>Swissbility AG</t>
  </si>
  <si>
    <t>Bützbergstrasse 98</t>
  </si>
  <si>
    <t>N771200</t>
  </si>
  <si>
    <t>Vermietung von Automobilen mit einem Gesamtgewicht von mehr als 3,5 t</t>
  </si>
  <si>
    <t>CHE-107.107.095</t>
  </si>
  <si>
    <t>Rewa Textilservice AG</t>
  </si>
  <si>
    <t>Eigenstrasse 17</t>
  </si>
  <si>
    <t>S960102</t>
  </si>
  <si>
    <t>Textilreinigung</t>
  </si>
  <si>
    <t>CHE-102.102.487</t>
  </si>
  <si>
    <t>SDL AG</t>
  </si>
  <si>
    <t>Beundenrain 7</t>
  </si>
  <si>
    <t>CHE-113.113.845</t>
  </si>
  <si>
    <t>Langatun Distillery AG</t>
  </si>
  <si>
    <t>Eyhalde 10</t>
  </si>
  <si>
    <t>C110100</t>
  </si>
  <si>
    <t>Herstellung von Spirituosen</t>
  </si>
  <si>
    <t>CHE-108.108.072</t>
  </si>
  <si>
    <t>EBL GmbH</t>
  </si>
  <si>
    <t>Badmattstrasse 6</t>
  </si>
  <si>
    <t>CHE-301.301.134</t>
  </si>
  <si>
    <t>Autoverkehr AG Langenthal</t>
  </si>
  <si>
    <t>Gaswerkstrasse 41</t>
  </si>
  <si>
    <t>Waldgasse 28</t>
  </si>
  <si>
    <t>CHE-105.105.121</t>
  </si>
  <si>
    <t>Fritz Leuenberger AG</t>
  </si>
  <si>
    <t>CHE-105.105.771</t>
  </si>
  <si>
    <t>Steffen Raumkonzepte AG</t>
  </si>
  <si>
    <t>Bernstrasse 14</t>
  </si>
  <si>
    <t>M741003</t>
  </si>
  <si>
    <t>Innenarchitektur und Raumgestaltung</t>
  </si>
  <si>
    <t>Zürichstrasse 10</t>
  </si>
  <si>
    <t>CHE-113.113.250</t>
  </si>
  <si>
    <t>Innofreight Swiss GmbH</t>
  </si>
  <si>
    <t>Zürichstrasse 56</t>
  </si>
  <si>
    <t>CHE-281.281.802</t>
  </si>
  <si>
    <t>Theo Steimer GmbH</t>
  </si>
  <si>
    <t>Greppenweg 15</t>
  </si>
  <si>
    <t>F433302</t>
  </si>
  <si>
    <t>Verlegen von Fliesen und Platten</t>
  </si>
  <si>
    <t>Mittelstrasse 40</t>
  </si>
  <si>
    <t>CHE-102.102.258</t>
  </si>
  <si>
    <t>DRUCKEREI SCHÜRCH AG</t>
  </si>
  <si>
    <t>Bahnhofstrasse 9</t>
  </si>
  <si>
    <t>CHE-375.375.335</t>
  </si>
  <si>
    <t>Flückiger &amp; Braunschweiler Sägereimaschinen AG</t>
  </si>
  <si>
    <t>Bern-Zürichstrasse 47</t>
  </si>
  <si>
    <t>G451901</t>
  </si>
  <si>
    <t>Handelsvermittlung und Grosshandel mit Automobilen mit einem Gesamtgewicht von mehr als 3,5 t</t>
  </si>
  <si>
    <t>CHE-390.390.413</t>
  </si>
  <si>
    <t>WLT Events GmbH</t>
  </si>
  <si>
    <t>Alleeweg 20</t>
  </si>
  <si>
    <t>CHE-109.109.190</t>
  </si>
  <si>
    <t>Industrielle Betriebe Huttwil AG</t>
  </si>
  <si>
    <t>Oberdorfstrasse 4</t>
  </si>
  <si>
    <t>CHE-109.109.380</t>
  </si>
  <si>
    <t>WSM-Präzisionsmechanik AG</t>
  </si>
  <si>
    <t>Steingasse 4</t>
  </si>
  <si>
    <t>CHE-115.115.680</t>
  </si>
  <si>
    <t>Indigo Treuhand AG</t>
  </si>
  <si>
    <t>Marktgasse 19</t>
  </si>
  <si>
    <t>CHE-104.104.183</t>
  </si>
  <si>
    <t>TECH AG Herzogenbuchsee</t>
  </si>
  <si>
    <t>Industriezone Hofmatt 19</t>
  </si>
  <si>
    <t>CHE-102.102.548</t>
  </si>
  <si>
    <t>MINDER AG TORBAU</t>
  </si>
  <si>
    <t>Dürrenbühl 58D</t>
  </si>
  <si>
    <t>CHE-101.101.146</t>
  </si>
  <si>
    <t>CHE-105.105.707</t>
  </si>
  <si>
    <t>Realini Malerei + Gipserei AG</t>
  </si>
  <si>
    <t>Ringstrasse 60a</t>
  </si>
  <si>
    <t>CHE-344.344.015</t>
  </si>
  <si>
    <t>Health Service 365 AG</t>
  </si>
  <si>
    <t>G479100</t>
  </si>
  <si>
    <t>Versand- und Internet-Detailhandel</t>
  </si>
  <si>
    <t>CHE-108.108.472</t>
  </si>
  <si>
    <t>Anytech Metallbau AG</t>
  </si>
  <si>
    <t>CHE-107.107.453</t>
  </si>
  <si>
    <t>aeschlimann-mühle ag</t>
  </si>
  <si>
    <t>Alleeweg 7</t>
  </si>
  <si>
    <t>C106100</t>
  </si>
  <si>
    <t>Mahl- und Schälmühlen</t>
  </si>
  <si>
    <t>CHE-107.107.601</t>
  </si>
  <si>
    <t>Rudolf Krenger AG</t>
  </si>
  <si>
    <t>Bahnhofstrasse 3</t>
  </si>
  <si>
    <t>CHE-105.105.701</t>
  </si>
  <si>
    <t>Schöni Swissfresh AG</t>
  </si>
  <si>
    <t>CHE-114.114.183</t>
  </si>
  <si>
    <t>FISCHER Spindle Group AG</t>
  </si>
  <si>
    <t>CHE-105.105.076</t>
  </si>
  <si>
    <t>Anzeiger Oberaargau AG</t>
  </si>
  <si>
    <t>Bahnhofstrasse 39</t>
  </si>
  <si>
    <t>J581300</t>
  </si>
  <si>
    <t>Verlegen von Zeitungen</t>
  </si>
  <si>
    <t>CHE-356.356.612</t>
  </si>
  <si>
    <t>Albalog AG</t>
  </si>
  <si>
    <t>CHE-107.107.143</t>
  </si>
  <si>
    <t>Wollspinnerei Huttwil AG</t>
  </si>
  <si>
    <t>Silostrasse 12</t>
  </si>
  <si>
    <t>C131002</t>
  </si>
  <si>
    <t>Wollaufbereitung, Streichgarnspinnerei und Kammgarnspinnerei</t>
  </si>
  <si>
    <t>CHE-104.104.152</t>
  </si>
  <si>
    <t>ARO TECHNOLOGIES AG</t>
  </si>
  <si>
    <t>Weststr. 69</t>
  </si>
  <si>
    <t>CHE-114.114.070</t>
  </si>
  <si>
    <t>VOLANTE BAUREALISIERUNG AG</t>
  </si>
  <si>
    <t>Bleienbachstrasse 26A</t>
  </si>
  <si>
    <t>CHE-113.113.700</t>
  </si>
  <si>
    <t>anea gmbh</t>
  </si>
  <si>
    <t>Weissacherweg 7</t>
  </si>
  <si>
    <t>Rumisberg</t>
  </si>
  <si>
    <t>CHE-426.426.987</t>
  </si>
  <si>
    <t>Caynova AG</t>
  </si>
  <si>
    <t>CHE-107.107.856</t>
  </si>
  <si>
    <t>HUEGLI TECH AG</t>
  </si>
  <si>
    <t>Murgenthalstrasse 30</t>
  </si>
  <si>
    <t>G465200</t>
  </si>
  <si>
    <t>Grosshandel mit elektronischen Bauteilen und Telekommunikationsgeräten</t>
  </si>
  <si>
    <t>CHE-101.101.077</t>
  </si>
  <si>
    <t>Moser-Ingold AG</t>
  </si>
  <si>
    <t>CHE-100.100.781</t>
  </si>
  <si>
    <t>Kabofina AG</t>
  </si>
  <si>
    <t>Industrieweg 2</t>
  </si>
  <si>
    <t>CHE-104.104.791</t>
  </si>
  <si>
    <t>ModDec GmbH</t>
  </si>
  <si>
    <t>Moselenweg 8</t>
  </si>
  <si>
    <t>CHE-108.108.037</t>
  </si>
  <si>
    <t>Verlagsgenossenschaft Caprovis</t>
  </si>
  <si>
    <t>J581400</t>
  </si>
  <si>
    <t>Verlegen von Zeitschriften</t>
  </si>
  <si>
    <t>CHE-102.102.826</t>
  </si>
  <si>
    <t>c/o Dr. iur. Markus Meyer</t>
  </si>
  <si>
    <t>Eisenbahnstrasse 11</t>
  </si>
  <si>
    <t>CHE-106.106.020</t>
  </si>
  <si>
    <t>Roth Immo AG</t>
  </si>
  <si>
    <t>Vorstadt 16</t>
  </si>
  <si>
    <t>CHE-108.108.975</t>
  </si>
  <si>
    <t>Murgenthalstrasse 24</t>
  </si>
  <si>
    <t>CHE-108.108.120</t>
  </si>
  <si>
    <t>Tomax GmbH</t>
  </si>
  <si>
    <t>Moselenweg 12</t>
  </si>
  <si>
    <t>CHE-104.104.634</t>
  </si>
  <si>
    <t>FR Metallbau AG</t>
  </si>
  <si>
    <t>Steinackerweg 16</t>
  </si>
  <si>
    <t>CHE-101.101.464</t>
  </si>
  <si>
    <t>Fair-Job GmbH</t>
  </si>
  <si>
    <t>Farbgasse 14</t>
  </si>
  <si>
    <t>N782000</t>
  </si>
  <si>
    <t>Befristete Überlassung von Arbeitskräften</t>
  </si>
  <si>
    <t>CHE-102.102.157</t>
  </si>
  <si>
    <t>S. Flückiger AG</t>
  </si>
  <si>
    <t>Huttwilstrasse 58</t>
  </si>
  <si>
    <t>Auswil</t>
  </si>
  <si>
    <t>CHE-113.113.570</t>
  </si>
  <si>
    <t>Daniel Graber Wärmetechnik GmbH</t>
  </si>
  <si>
    <t>Gerberain 199</t>
  </si>
  <si>
    <t>CHE-428.428.307</t>
  </si>
  <si>
    <t>Hirschenbad AG</t>
  </si>
  <si>
    <t>St. Urbanstrasse 92</t>
  </si>
  <si>
    <t>CHE-109.109.041</t>
  </si>
  <si>
    <t>FL Baumeisterhaus AG</t>
  </si>
  <si>
    <t>CHE-105.105.681</t>
  </si>
  <si>
    <t>Oehrli &amp; Schär Garage Carrosserie AG</t>
  </si>
  <si>
    <t>Niederbippstrasse 3</t>
  </si>
  <si>
    <t>CHE-108.108.195</t>
  </si>
  <si>
    <t>WL Classic Cars AG</t>
  </si>
  <si>
    <t>Schulhausstrasse 24</t>
  </si>
  <si>
    <t>CHE-189.189.257</t>
  </si>
  <si>
    <t>Reinmann Drucklösungen AG</t>
  </si>
  <si>
    <t>G474100</t>
  </si>
  <si>
    <t>Detailhandel mit Datenverarbeitungsgeräten, peripheren Geräten und Software</t>
  </si>
  <si>
    <t>CHE-107.107.431</t>
  </si>
  <si>
    <t>Drehtech AG</t>
  </si>
  <si>
    <t>Industrieweg 16</t>
  </si>
  <si>
    <t>CHE-362.362.320</t>
  </si>
  <si>
    <t>Müller + Partner, dipl. Architekten HTL/STV AG</t>
  </si>
  <si>
    <t>Eichenweg 16</t>
  </si>
  <si>
    <t>CHE-101.101.371</t>
  </si>
  <si>
    <t>Fernsehgenossenschaft Madiswil</t>
  </si>
  <si>
    <t>c/o Andreas Schneider</t>
  </si>
  <si>
    <t>Bänackerstrasse 12</t>
  </si>
  <si>
    <t>CHE-113.113.446</t>
  </si>
  <si>
    <t>Autocenter Burkhard AG Niederbipp</t>
  </si>
  <si>
    <t>Leenrüttimattweg 9</t>
  </si>
  <si>
    <t>CHE-101.101.081</t>
  </si>
  <si>
    <t>Lanz-Anliker AG</t>
  </si>
  <si>
    <t>C139903</t>
  </si>
  <si>
    <t>Herstellung von sonstigen Textilwaren a. n. g.</t>
  </si>
  <si>
    <t>N772900</t>
  </si>
  <si>
    <t>Vermietung von sonstigen Gebrauchsgütern</t>
  </si>
  <si>
    <t>CHE-107.107.504</t>
  </si>
  <si>
    <t>LANDI Riedtwil, Genossenschaft</t>
  </si>
  <si>
    <t>Hauptstrasse 43</t>
  </si>
  <si>
    <t>CHE-107.107.918</t>
  </si>
  <si>
    <t>Pfister Transporte AG</t>
  </si>
  <si>
    <t>Heimenhausenstrasse 4</t>
  </si>
  <si>
    <t>Walliswil bei Wangen</t>
  </si>
  <si>
    <t>CHE-103.103.606</t>
  </si>
  <si>
    <t>Swiss Luggage SL AG</t>
  </si>
  <si>
    <t>Talstrasse 15</t>
  </si>
  <si>
    <t>C151200</t>
  </si>
  <si>
    <t>Herstellung von Reiseartikeln, Leder- und Sattlerwaren (ohne Herstellung von Lederbekleidung und Schuhen)</t>
  </si>
  <si>
    <t>CHE-107.107.896</t>
  </si>
  <si>
    <t>Genossenschaft ProBon.ch</t>
  </si>
  <si>
    <t>Güterstrasse 21</t>
  </si>
  <si>
    <t>S941200</t>
  </si>
  <si>
    <t>Berufsorganisationen</t>
  </si>
  <si>
    <t>CHE-107.107.265</t>
  </si>
  <si>
    <t>Lanz AG</t>
  </si>
  <si>
    <t>Laupere 4c</t>
  </si>
  <si>
    <t>CHE-114.114.946</t>
  </si>
  <si>
    <t>appoloni keramik gmbh</t>
  </si>
  <si>
    <t>CHE-214.214.263</t>
  </si>
  <si>
    <t>Oelepraxis, Ärztezentrum Attiswil - Wiedlisbach AG</t>
  </si>
  <si>
    <t>Oeleweg 3</t>
  </si>
  <si>
    <t>CHE-115.115.357</t>
  </si>
  <si>
    <t>Grädel &amp; Cie AG</t>
  </si>
  <si>
    <t>Bernstrasse 7a</t>
  </si>
  <si>
    <t>CHE-102.102.702</t>
  </si>
  <si>
    <t>Elkuch Bator AG</t>
  </si>
  <si>
    <t>Hofmattstrasse 14</t>
  </si>
  <si>
    <t>C251200</t>
  </si>
  <si>
    <t>Herstellung von Ausbauelementen aus Metall</t>
  </si>
  <si>
    <t>CHE-102.102.849</t>
  </si>
  <si>
    <t>Hans Christen AG</t>
  </si>
  <si>
    <t>Biblisweg 32</t>
  </si>
  <si>
    <t>CHE-214.214.693</t>
  </si>
  <si>
    <t>TB Netz AG</t>
  </si>
  <si>
    <t>c/o Gemeindeverwaltung Thunstetten</t>
  </si>
  <si>
    <t>Flurstrasse 2</t>
  </si>
  <si>
    <t>CHE-102.102.818</t>
  </si>
  <si>
    <t>Stuco AG Sicherheits- und Spezialschuhe</t>
  </si>
  <si>
    <t>Industrieweg 12</t>
  </si>
  <si>
    <t>CHE-105.105.578</t>
  </si>
  <si>
    <t>Witschi Baumanagement AG</t>
  </si>
  <si>
    <t>CHE-102.102.254</t>
  </si>
  <si>
    <t>R. Schweizer &amp; Cie. AG</t>
  </si>
  <si>
    <t>Schenkstrasse 13</t>
  </si>
  <si>
    <t>C141301</t>
  </si>
  <si>
    <t>Herstellung von Herren- und Knabenoberbekleidung</t>
  </si>
  <si>
    <t>CHE-101.101.041</t>
  </si>
  <si>
    <t>ARO DISTRIBUTION AG</t>
  </si>
  <si>
    <t>Weststrasse 69</t>
  </si>
  <si>
    <t>G469000</t>
  </si>
  <si>
    <t>Grosshandel ohne ausgeprägten Schwerpunkt</t>
  </si>
  <si>
    <t>CHE-170.170.138</t>
  </si>
  <si>
    <t>Coop Vitality Health Care GmbH</t>
  </si>
  <si>
    <t>CHE-105.105.095</t>
  </si>
  <si>
    <t>Gränicher AG Huttwil</t>
  </si>
  <si>
    <t>Rüttistaldenstrasse 20</t>
  </si>
  <si>
    <t>F421100</t>
  </si>
  <si>
    <t>Bau von Strassen</t>
  </si>
  <si>
    <t>CHE-107.107.837</t>
  </si>
  <si>
    <t>Greub Schlosserei AG</t>
  </si>
  <si>
    <t>C256202</t>
  </si>
  <si>
    <t>Schlossereien</t>
  </si>
  <si>
    <t>CHE-103.103.059</t>
  </si>
  <si>
    <t>Jost Pflanzenkulturen AG</t>
  </si>
  <si>
    <t>Holzgasse 36</t>
  </si>
  <si>
    <t>Brunnenplatz 6</t>
  </si>
  <si>
    <t>CHE-100.100.220</t>
  </si>
  <si>
    <t>Käsereigenossenschaft Walterswil</t>
  </si>
  <si>
    <t>Dorf 76b</t>
  </si>
  <si>
    <t>Walterswil BE</t>
  </si>
  <si>
    <t>CHE-101.101.984</t>
  </si>
  <si>
    <t>ZALA AG</t>
  </si>
  <si>
    <t>Wynaustrasse 91</t>
  </si>
  <si>
    <t>E370000</t>
  </si>
  <si>
    <t>Abwasserentsorgung</t>
  </si>
  <si>
    <t>CHE-114.114.091</t>
  </si>
  <si>
    <t>Trikora AG</t>
  </si>
  <si>
    <t>Industriestrasse 20</t>
  </si>
  <si>
    <t>M731100</t>
  </si>
  <si>
    <t>Werbeagenturen</t>
  </si>
  <si>
    <t>CHE-105.105.254</t>
  </si>
  <si>
    <t>CHE-108.108.817</t>
  </si>
  <si>
    <t>Geiger Cytec Systems AG</t>
  </si>
  <si>
    <t>Vorstadt 40</t>
  </si>
  <si>
    <t>CHE-422.422.371</t>
  </si>
  <si>
    <t>Triplant AG</t>
  </si>
  <si>
    <t>CHE-107.107.775</t>
  </si>
  <si>
    <t>Haas Holz AG</t>
  </si>
  <si>
    <t>Dorfstr. 25</t>
  </si>
  <si>
    <t>Walliswil b. Wangen</t>
  </si>
  <si>
    <t>CHE-100.100.690</t>
  </si>
  <si>
    <t>AN Inovabau GmbH</t>
  </si>
  <si>
    <t>Heidenmoosstrasse 23</t>
  </si>
  <si>
    <t>CHE-107.107.481</t>
  </si>
  <si>
    <t>BSB Mechanik AG</t>
  </si>
  <si>
    <t>CHE-103.103.187</t>
  </si>
  <si>
    <t>Woelfel AG</t>
  </si>
  <si>
    <t>Quellenweg 11</t>
  </si>
  <si>
    <t>CHE-112.112.579</t>
  </si>
  <si>
    <t>Obergasse 20</t>
  </si>
  <si>
    <t>Thunstetten</t>
  </si>
  <si>
    <t>E381100</t>
  </si>
  <si>
    <t>Sammlung nicht gefährlicher Abfälle</t>
  </si>
  <si>
    <t>CHE-112.112.960</t>
  </si>
  <si>
    <t>Oester-Küchen AG</t>
  </si>
  <si>
    <t>Lengmattstrasse 2</t>
  </si>
  <si>
    <t>F433200</t>
  </si>
  <si>
    <t>Einbau von Fenster, Türen und Innenausbau, Einbauküchen, Einbaumöbel</t>
  </si>
  <si>
    <t>CHE-107.107.852</t>
  </si>
  <si>
    <t>Elektro Zimmerli AG</t>
  </si>
  <si>
    <t>Aegertenstrasse 12a</t>
  </si>
  <si>
    <t>Dorfstrasse 3</t>
  </si>
  <si>
    <t>CHE-363.363.951</t>
  </si>
  <si>
    <t>Bäckerei Tea Room Bieri AG</t>
  </si>
  <si>
    <t>Untere Dürrmühlestrasse 4</t>
  </si>
  <si>
    <t>CHE-107.107.037</t>
  </si>
  <si>
    <t>Bacol AG</t>
  </si>
  <si>
    <t>Stauffenbach 14</t>
  </si>
  <si>
    <t>Ochlenberg</t>
  </si>
  <si>
    <t>G464903</t>
  </si>
  <si>
    <t>Grosshandel mit Sportartikeln</t>
  </si>
  <si>
    <t>CHE-226.226.496</t>
  </si>
  <si>
    <t>Daetwyler Management AG</t>
  </si>
  <si>
    <t>Bahnhofstrasse 16</t>
  </si>
  <si>
    <t>CHE-103.103.736</t>
  </si>
  <si>
    <t>SCHNEEBERGER HOLDING AG</t>
  </si>
  <si>
    <t>CHE-101.101.350</t>
  </si>
  <si>
    <t>Interrevi AG</t>
  </si>
  <si>
    <t>Marktgasse 11</t>
  </si>
  <si>
    <t>CHE-337.337.302</t>
  </si>
  <si>
    <t>CV Fleet AG</t>
  </si>
  <si>
    <t>c/o Fritz Leuenberger AG</t>
  </si>
  <si>
    <t>F429900</t>
  </si>
  <si>
    <t>Sonstiger Tiefbau a. n. g.</t>
  </si>
  <si>
    <t>CHE-107.107.407</t>
  </si>
  <si>
    <t>Rö-Trans AG</t>
  </si>
  <si>
    <t>Untersteckholzstrasse 56</t>
  </si>
  <si>
    <t>CHE-480.480.479</t>
  </si>
  <si>
    <t>Grevag Consulting GmbH</t>
  </si>
  <si>
    <t>St. Urbanstrasse 6</t>
  </si>
  <si>
    <t>CHE-107.107.926</t>
  </si>
  <si>
    <t>Balsiger Textil AG</t>
  </si>
  <si>
    <t>Gaswerkstrasse 70 A</t>
  </si>
  <si>
    <t>G464100</t>
  </si>
  <si>
    <t>Grosshandel mit Textilien</t>
  </si>
  <si>
    <t>CHE-108.108.031</t>
  </si>
  <si>
    <t>NB Technik + Handels AG</t>
  </si>
  <si>
    <t>Bernstrasse 74</t>
  </si>
  <si>
    <t>Farnsbergstrasse 68</t>
  </si>
  <si>
    <t>Oberönz</t>
  </si>
  <si>
    <t>CHE-113.113.583</t>
  </si>
  <si>
    <t>Wälchli Feste AG</t>
  </si>
  <si>
    <t>Bützbergstrasse 17</t>
  </si>
  <si>
    <t>CHE-112.112.040</t>
  </si>
  <si>
    <t>Segelman Trust GmbH</t>
  </si>
  <si>
    <t>CHE-353.353.219</t>
  </si>
  <si>
    <t>mydose AG</t>
  </si>
  <si>
    <t>Industriestrasse 4</t>
  </si>
  <si>
    <t>N829200</t>
  </si>
  <si>
    <t>Abfüllen und Verpacken</t>
  </si>
  <si>
    <t>CHE-115.115.291</t>
  </si>
  <si>
    <t>SDL Drahtwaren AG</t>
  </si>
  <si>
    <t>Stockackerweg 16</t>
  </si>
  <si>
    <t>G467200</t>
  </si>
  <si>
    <t>Grosshandel mit Erzen, Metallen und Metallhalbzeug</t>
  </si>
  <si>
    <t>CHE-103.103.121</t>
  </si>
  <si>
    <t>Regast AG</t>
  </si>
  <si>
    <t>Wangenstrasse 45</t>
  </si>
  <si>
    <t>CHE-107.107.274</t>
  </si>
  <si>
    <t>Schneeberger AG, Automobile</t>
  </si>
  <si>
    <t>Zürichstrasse 37</t>
  </si>
  <si>
    <t>CHE-112.112.841</t>
  </si>
  <si>
    <t>Sumec AG</t>
  </si>
  <si>
    <t>Lehnrüttimattweg 2</t>
  </si>
  <si>
    <t>CHE-110.110.026</t>
  </si>
  <si>
    <t>Auto Lemp AG</t>
  </si>
  <si>
    <t>Solothurnstrasse 21</t>
  </si>
  <si>
    <t>Attiswil</t>
  </si>
  <si>
    <t>D351400</t>
  </si>
  <si>
    <t>Elektrizitätshandel</t>
  </si>
  <si>
    <t>CHE-107.107.357</t>
  </si>
  <si>
    <t>Alpha Pflanzen AG</t>
  </si>
  <si>
    <t>Dorfstrasse 12</t>
  </si>
  <si>
    <t>G477602</t>
  </si>
  <si>
    <t>Detailhandel mit Blumen und Pflanzen</t>
  </si>
  <si>
    <t>CHE-204.204.688</t>
  </si>
  <si>
    <t>Schüpbach Fahrzeugelektrik GmbH</t>
  </si>
  <si>
    <t>Jurastrasse 36</t>
  </si>
  <si>
    <t>CHE-108.108.153</t>
  </si>
  <si>
    <t>Chäs Max GmbH</t>
  </si>
  <si>
    <t>GmbH</t>
  </si>
  <si>
    <t>C105102</t>
  </si>
  <si>
    <t>Herstellung von Käse</t>
  </si>
  <si>
    <t>CHE-107.107.880</t>
  </si>
  <si>
    <t>Design Planung und Immobilien GmbH</t>
  </si>
  <si>
    <t>Obere Dürrmühlestrasse 12a</t>
  </si>
  <si>
    <t>CHE-107.107.988</t>
  </si>
  <si>
    <t>LANDI Eriswil, Genossenschaft</t>
  </si>
  <si>
    <t>Bahnhofplatz 6</t>
  </si>
  <si>
    <t>CHE-114.114.676</t>
  </si>
  <si>
    <t>Schreinerei P. Schmid AG</t>
  </si>
  <si>
    <t>Solothurnstrasse 14</t>
  </si>
  <si>
    <t>CHE-107.107.323</t>
  </si>
  <si>
    <t>Nyffenegger Storenfabrik AG</t>
  </si>
  <si>
    <t>C222300</t>
  </si>
  <si>
    <t>Herstellung von Baubedarfsartikeln aus Kunststoffen</t>
  </si>
  <si>
    <t>CHE-107.107.177</t>
  </si>
  <si>
    <t>Siebert AG</t>
  </si>
  <si>
    <t>Buetzbergstrasse 2</t>
  </si>
  <si>
    <t>CHE-476.476.428</t>
  </si>
  <si>
    <t>LARAG AG Langenthal</t>
  </si>
  <si>
    <t>Chasseralstrasse 20</t>
  </si>
  <si>
    <t>CHE-112.112.648</t>
  </si>
  <si>
    <t>aml AG Langenthal</t>
  </si>
  <si>
    <t>Murgenthalstrasse 71</t>
  </si>
  <si>
    <t>CHE-107.107.008</t>
  </si>
  <si>
    <t>Ulrich Staub, Buchhaltungs- und Treuhandbüro AG</t>
  </si>
  <si>
    <t>Weingartenstrasse 3</t>
  </si>
  <si>
    <t>CHE-107.107.991</t>
  </si>
  <si>
    <t>W. Schärer Schlossgarage AG</t>
  </si>
  <si>
    <t>CHE-232.232.250</t>
  </si>
  <si>
    <t>SealEco AG</t>
  </si>
  <si>
    <t>c/o Kämpfer + Co. AG</t>
  </si>
  <si>
    <t>CHE-226.226.381</t>
  </si>
  <si>
    <t>Baumann Immobilien &amp; Service AG</t>
  </si>
  <si>
    <t>CHE-107.107.275</t>
  </si>
  <si>
    <t>Fischer-Käser AG</t>
  </si>
  <si>
    <t>Kohlplatzstrasse 38</t>
  </si>
  <si>
    <t>F432202</t>
  </si>
  <si>
    <t>Sanitärinstallation und Spenglerei</t>
  </si>
  <si>
    <t>CHE-114.114.759</t>
  </si>
  <si>
    <t>Hans Mathys AG</t>
  </si>
  <si>
    <t>Luzernstrasse 82</t>
  </si>
  <si>
    <t>CHE-102.102.749</t>
  </si>
  <si>
    <t>Wega Products AG</t>
  </si>
  <si>
    <t>G464201</t>
  </si>
  <si>
    <t>Grosshandel mit Bekleidung</t>
  </si>
  <si>
    <t>CHE-114.114.039</t>
  </si>
  <si>
    <t>Suissessences Genossenschaft</t>
  </si>
  <si>
    <t>Deitingenstrasse 31</t>
  </si>
  <si>
    <t>C204200</t>
  </si>
  <si>
    <t>Herstellung von Körperpflegemitteln und Duftstoffen</t>
  </si>
  <si>
    <t>CHE-107.107.887</t>
  </si>
  <si>
    <t>Scheidegger AG, Bauingenieure &amp; Planer</t>
  </si>
  <si>
    <t>CHE-107.107.925</t>
  </si>
  <si>
    <t>Althaus Management AG</t>
  </si>
  <si>
    <t>CHE-407.407.364</t>
  </si>
  <si>
    <t>Landgasthof Bären AG</t>
  </si>
  <si>
    <t>Kirchgässli 1</t>
  </si>
  <si>
    <t>CHE-440.440.462</t>
  </si>
  <si>
    <t>Urs Pfister Haustechnik AG</t>
  </si>
  <si>
    <t>Städtli 60</t>
  </si>
  <si>
    <t>F432203</t>
  </si>
  <si>
    <t>Sanitär- und Heizungsinstallation</t>
  </si>
  <si>
    <t>CHE-420.420.301</t>
  </si>
  <si>
    <t>Q Point AG</t>
  </si>
  <si>
    <t>Güterstrasse 20</t>
  </si>
  <si>
    <t>CHE-496.496.946</t>
  </si>
  <si>
    <t>Level 14 AG</t>
  </si>
  <si>
    <t>Bützbergstrasse 1</t>
  </si>
  <si>
    <t>CHE-107.107.723</t>
  </si>
  <si>
    <t>Garage Gautschi AG</t>
  </si>
  <si>
    <t>CHE-136.136.941</t>
  </si>
  <si>
    <t>Webpresso AG</t>
  </si>
  <si>
    <t>CHE-107.107.717</t>
  </si>
  <si>
    <t>Düby AG</t>
  </si>
  <si>
    <t>Marktgasse 23</t>
  </si>
  <si>
    <t>G472902</t>
  </si>
  <si>
    <t>Sonstiger Fachdetailhandel mit Nahrungs- und Genussmitteln, Getränken und Tabakwaren a. n. g. (in Verkaufsräumen)</t>
  </si>
  <si>
    <t>CHE-111.111.801</t>
  </si>
  <si>
    <t>Logodom AG</t>
  </si>
  <si>
    <t>CHE-112.112.126</t>
  </si>
  <si>
    <t>Bystronic Sales AG</t>
  </si>
  <si>
    <t>G466200</t>
  </si>
  <si>
    <t>Grosshandel mit Werkzeugmaschinen</t>
  </si>
  <si>
    <t>CHE-107.107.515</t>
  </si>
  <si>
    <t>Larep Garage AG</t>
  </si>
  <si>
    <t>Luzernstrasse 79</t>
  </si>
  <si>
    <t>CHE-107.107.971</t>
  </si>
  <si>
    <t>Landolt Kanalunterhalt AG</t>
  </si>
  <si>
    <t>Dennliweg 37</t>
  </si>
  <si>
    <t>CHE-112.112.743</t>
  </si>
  <si>
    <t>Contria GmbH</t>
  </si>
  <si>
    <t>CHE-384.384.108</t>
  </si>
  <si>
    <t>Noury AG</t>
  </si>
  <si>
    <t>CHE-108.108.889</t>
  </si>
  <si>
    <t>Käsereigenossenschaft Eriswil-Tschäppel</t>
  </si>
  <si>
    <t>c/o Josef Schärli</t>
  </si>
  <si>
    <t>Tschäppel 76</t>
  </si>
  <si>
    <t>CHE-105.105.926</t>
  </si>
  <si>
    <t>RUCKSTUHL AG</t>
  </si>
  <si>
    <t>Bleienbachstrasse 9</t>
  </si>
  <si>
    <t>C139300</t>
  </si>
  <si>
    <t>Herstellung von Teppichen</t>
  </si>
  <si>
    <t>CHE-107.107.167</t>
  </si>
  <si>
    <t>Straub Sport AG</t>
  </si>
  <si>
    <t>Marktgasse 35</t>
  </si>
  <si>
    <t>CHE-107.107.945</t>
  </si>
  <si>
    <t>Heiniger Unternehmensberatung AG</t>
  </si>
  <si>
    <t>CHE-107.107.144</t>
  </si>
  <si>
    <t>Mueller AG</t>
  </si>
  <si>
    <t>Gaswerkstrasse 49</t>
  </si>
  <si>
    <t>CHE-161.161.598</t>
  </si>
  <si>
    <t>PROMOFASHION AG</t>
  </si>
  <si>
    <t>Unterdorfstrasse 66</t>
  </si>
  <si>
    <t>CHE-107.107.968</t>
  </si>
  <si>
    <t>Gebrüder Brand AG, Spenglerei &amp; Sanitäre Installationen</t>
  </si>
  <si>
    <t>Bahnhofstrasse 24</t>
  </si>
  <si>
    <t>CHE-370.370.895</t>
  </si>
  <si>
    <t>Bracher und Partner Notariat AG</t>
  </si>
  <si>
    <t>M691001</t>
  </si>
  <si>
    <t>Advokatur-, Notariatsbüros</t>
  </si>
  <si>
    <t>CHE-107.107.131</t>
  </si>
  <si>
    <t>Roth Installations AG</t>
  </si>
  <si>
    <t>Neustrasse 4</t>
  </si>
  <si>
    <t>CHE-106.106.942</t>
  </si>
  <si>
    <t>Durrer Gartenbau AG</t>
  </si>
  <si>
    <t>N813000</t>
  </si>
  <si>
    <t>Garten- und Landschaftsbau sowie Erbringung von sonstigen gärtnerischen Dienstleistungen</t>
  </si>
  <si>
    <t>CHE-107.107.812</t>
  </si>
  <si>
    <t>Garage Küffer AG</t>
  </si>
  <si>
    <t>CHE-497.497.317</t>
  </si>
  <si>
    <t>BATOR AG</t>
  </si>
  <si>
    <t>CHE-107.107.774</t>
  </si>
  <si>
    <t>Rüfenacht AG</t>
  </si>
  <si>
    <t>C332000</t>
  </si>
  <si>
    <t>Installation von Maschinen und Ausrüstungen a. n. g.</t>
  </si>
  <si>
    <t>CHE-110.110.707</t>
  </si>
  <si>
    <t>Felber AG</t>
  </si>
  <si>
    <t>Dennliweg 21</t>
  </si>
  <si>
    <t>G472402</t>
  </si>
  <si>
    <t>Bäckereien - Tea-Rooms</t>
  </si>
  <si>
    <t>CHE-205.205.963</t>
  </si>
  <si>
    <t>OPHARDT Hygiene AG</t>
  </si>
  <si>
    <t>Herrenmattweg 1</t>
  </si>
  <si>
    <t>C265100</t>
  </si>
  <si>
    <t>Herstellung von Mess-, Kontroll-, Navigations- u. ä. Instrumenten und Vorrichtungen</t>
  </si>
  <si>
    <t>CHE-103.103.394</t>
  </si>
  <si>
    <t>P'INC. AG</t>
  </si>
  <si>
    <t>M702100</t>
  </si>
  <si>
    <t>Public-Relations-Beratung</t>
  </si>
  <si>
    <t>CHE-106.106.861</t>
  </si>
  <si>
    <t>Graber Baumaschinen AG</t>
  </si>
  <si>
    <t>Gaswerkstr. 66</t>
  </si>
  <si>
    <t>C252900</t>
  </si>
  <si>
    <t>Herstellung von Sammelbehältern, Tanks u. ä. Behältern aus Metall</t>
  </si>
  <si>
    <t>CHE-102.102.283</t>
  </si>
  <si>
    <t>Elektra Seeberg-Grasswil-Riedtwil Genossenschaft</t>
  </si>
  <si>
    <t>c/o Jacqueline Capizzi-Gigon</t>
  </si>
  <si>
    <t>Unterdorfstrasse 53</t>
  </si>
  <si>
    <t>CHE-106.106.210</t>
  </si>
  <si>
    <t>Käsereigenossenschaft Rätschen</t>
  </si>
  <si>
    <t>c/o Hans Ulrich Zürcher</t>
  </si>
  <si>
    <t>Aelmegg 9</t>
  </si>
  <si>
    <t>CHE-145.145.759</t>
  </si>
  <si>
    <t>Zaugg bauconzept AG</t>
  </si>
  <si>
    <t>CHE-458.458.208</t>
  </si>
  <si>
    <t>Roth Drogerie AG</t>
  </si>
  <si>
    <t>G477501</t>
  </si>
  <si>
    <t>Drogerien</t>
  </si>
  <si>
    <t>CHE-114.114.089</t>
  </si>
  <si>
    <t>G-Pharma AG</t>
  </si>
  <si>
    <t>CHE-213.213.697</t>
  </si>
  <si>
    <t>Bracher und Partner Recht AG</t>
  </si>
  <si>
    <t>CHE-106.106.997</t>
  </si>
  <si>
    <t>Käsereigenossenschaft Oschwand</t>
  </si>
  <si>
    <t>c/o Philipp Sommer</t>
  </si>
  <si>
    <t>Wynigshaus 39</t>
  </si>
  <si>
    <t>CHE-106.106.800</t>
  </si>
  <si>
    <t>Ringstrasse 40</t>
  </si>
  <si>
    <t>CHE-253.253.572</t>
  </si>
  <si>
    <t>Grow Home GmbH</t>
  </si>
  <si>
    <t>CHE-131.131.543</t>
  </si>
  <si>
    <t>ILS mathys AG</t>
  </si>
  <si>
    <t>Oltenstrasse 34B</t>
  </si>
  <si>
    <t>CHE-410.410.881</t>
  </si>
  <si>
    <t>Fritz Aegerter AG</t>
  </si>
  <si>
    <t>CHE-106.106.143</t>
  </si>
  <si>
    <t>Schlachthausgenossenschaft Langenthal</t>
  </si>
  <si>
    <t>Gaswerkstrasse 68</t>
  </si>
  <si>
    <t>C101100</t>
  </si>
  <si>
    <t>Schlachten (ohne Schlachten von Geflügel)</t>
  </si>
  <si>
    <t>CHE-110.110.229</t>
  </si>
  <si>
    <t>Rieder Immobilien AG</t>
  </si>
  <si>
    <t>CHE-105.105.662</t>
  </si>
  <si>
    <t>Gall Superbikes AG</t>
  </si>
  <si>
    <t>Bernstrasse 68</t>
  </si>
  <si>
    <t>CHE-111.111.732</t>
  </si>
  <si>
    <t>Bösiger Gemüsekulturen AG</t>
  </si>
  <si>
    <t>A013000</t>
  </si>
  <si>
    <t>Betrieb von Baumschulen sowie Anbau von Pflanzen zu Vermehrungszwecken</t>
  </si>
  <si>
    <t>CHE-112.112.706</t>
  </si>
  <si>
    <t>PRO-CAM CNC AG</t>
  </si>
  <si>
    <t>Luzernstrasse 86</t>
  </si>
  <si>
    <t>CHE-105.105.695</t>
  </si>
  <si>
    <t>HM Marti AG</t>
  </si>
  <si>
    <t>Unterdorfstrasse 25</t>
  </si>
  <si>
    <t>CHE-109.109.696</t>
  </si>
  <si>
    <t>Sägesser Fenster AG</t>
  </si>
  <si>
    <t>Industriestrasse 26</t>
  </si>
  <si>
    <t>CHE-113.113.730</t>
  </si>
  <si>
    <t>Tanner Kaminbau AG</t>
  </si>
  <si>
    <t>Lochmühleweg 3</t>
  </si>
  <si>
    <t>CHE-116.116.861</t>
  </si>
  <si>
    <t>logdata ag</t>
  </si>
  <si>
    <t>CHE-105.105.515</t>
  </si>
  <si>
    <t>Käsereigenossenschaft Melchnau</t>
  </si>
  <si>
    <t>c/o Peter Leuenberger</t>
  </si>
  <si>
    <t>Dorfstrasse 49</t>
  </si>
  <si>
    <t>CHE-385.385.806</t>
  </si>
  <si>
    <t>U. Wyss AG</t>
  </si>
  <si>
    <t>Langenthalstrasse 17</t>
  </si>
  <si>
    <t>CHE-109.109.520</t>
  </si>
  <si>
    <t>FLYER AG</t>
  </si>
  <si>
    <t>Schwende 1</t>
  </si>
  <si>
    <t>C309201</t>
  </si>
  <si>
    <t>Herstellung von Fahrrädern</t>
  </si>
  <si>
    <t>CHE-105.105.909</t>
  </si>
  <si>
    <t>Woodwork AG</t>
  </si>
  <si>
    <t>CHE-105.105.363</t>
  </si>
  <si>
    <t>ServiceTech GmbH</t>
  </si>
  <si>
    <t>Oberdorfweg 8</t>
  </si>
  <si>
    <t>Röthenbach bei Herzogenbuchsee</t>
  </si>
  <si>
    <t>CHE-108.108.778</t>
  </si>
  <si>
    <t>W. Schärer Bahnhof-Garage AG</t>
  </si>
  <si>
    <t>Buchsistrasse 1</t>
  </si>
  <si>
    <t>CHE-105.105.657</t>
  </si>
  <si>
    <t>Idealbau AG</t>
  </si>
  <si>
    <t>CHE-465.465.577</t>
  </si>
  <si>
    <t>Lackierwerk Roggwil AG</t>
  </si>
  <si>
    <t>CHE-365.365.447</t>
  </si>
  <si>
    <t>SHOT SHOP AG</t>
  </si>
  <si>
    <t>Käsereistrasse 1</t>
  </si>
  <si>
    <t>CHE-105.105.801</t>
  </si>
  <si>
    <t>ZAR Emmental - Oberaargau AG</t>
  </si>
  <si>
    <t>Wynaustr. 101</t>
  </si>
  <si>
    <t>CHE-116.116.903</t>
  </si>
  <si>
    <t>AIRLA Aircraft-Service GmbH</t>
  </si>
  <si>
    <t>C331600</t>
  </si>
  <si>
    <t>Reparatur und Instandhaltung von Luft- und Raumfahrzeugen</t>
  </si>
  <si>
    <t>CHE-225.225.506</t>
  </si>
  <si>
    <t>Schmidt Consulting und Vertrieb West Schweiz GmbH</t>
  </si>
  <si>
    <t>Lagerstrasse 20</t>
  </si>
  <si>
    <t>G465101</t>
  </si>
  <si>
    <t>Grosshandel mit Datenverarbeitungsgeräten und peripheren Einheiten</t>
  </si>
  <si>
    <t>CHE-106.106.628</t>
  </si>
  <si>
    <t>Wangenstrasse 84</t>
  </si>
  <si>
    <t>CHE-335.335.792</t>
  </si>
  <si>
    <t>Dennliweg 11b</t>
  </si>
  <si>
    <t>CHE-263.263.105</t>
  </si>
  <si>
    <t>Wunderli-Hauser Immobilien AG</t>
  </si>
  <si>
    <t>c/o Tobias Wunderli</t>
  </si>
  <si>
    <t>Lehnweg 22</t>
  </si>
  <si>
    <t>CHE-106.106.767</t>
  </si>
  <si>
    <t>Nyffeler Lotzwil AG</t>
  </si>
  <si>
    <t>Inseli 11</t>
  </si>
  <si>
    <t>CHE-109.109.161</t>
  </si>
  <si>
    <t>ASA-Consulting AG</t>
  </si>
  <si>
    <t>CHE-390.390.063</t>
  </si>
  <si>
    <t>OP-Aqua AG</t>
  </si>
  <si>
    <t>CHE-109.109.432</t>
  </si>
  <si>
    <t>Kämpfer + Co AG</t>
  </si>
  <si>
    <t>CHE-101.101.310</t>
  </si>
  <si>
    <t>Aggarwal AG</t>
  </si>
  <si>
    <t>Bern-Zürichstrasse 16</t>
  </si>
  <si>
    <t>G471104</t>
  </si>
  <si>
    <t>Grosse Geschäfte (100-399 m2)</t>
  </si>
  <si>
    <t>A. Lanz AG</t>
  </si>
  <si>
    <t>Friedhofweg 40</t>
  </si>
  <si>
    <t>CHE-338.338.347</t>
  </si>
  <si>
    <t>Belrec AG</t>
  </si>
  <si>
    <t>E383200</t>
  </si>
  <si>
    <t>Rückgewinnung sortierter Werkstoffe</t>
  </si>
  <si>
    <t>CHE-115.115.941</t>
  </si>
  <si>
    <t>Ingold Baumschulen AG</t>
  </si>
  <si>
    <t>Weissenried 3</t>
  </si>
  <si>
    <t>CHE-100.100.201</t>
  </si>
  <si>
    <t>ERGONOM AG</t>
  </si>
  <si>
    <t>Industriestrasse 7</t>
  </si>
  <si>
    <t>CHE-470.470.823</t>
  </si>
  <si>
    <t>limpio gmbh</t>
  </si>
  <si>
    <t>Byfangweg 3</t>
  </si>
  <si>
    <t>CHE-103.103.846</t>
  </si>
  <si>
    <t>CHE-256.256.611</t>
  </si>
  <si>
    <t>Summerset-Yachting AG</t>
  </si>
  <si>
    <t>c/o Korff AG</t>
  </si>
  <si>
    <t>N791200</t>
  </si>
  <si>
    <t>Reiseveranstalter</t>
  </si>
  <si>
    <t>CHE-109.109.578</t>
  </si>
  <si>
    <t>Anderegg Keramik AG</t>
  </si>
  <si>
    <t>Oberer Winkel 10</t>
  </si>
  <si>
    <t>CHE-103.103.120</t>
  </si>
  <si>
    <t>J. Schneeberger Maschinen AG</t>
  </si>
  <si>
    <t>Geissbergstrasse 2</t>
  </si>
  <si>
    <t>CHE-103.103.807</t>
  </si>
  <si>
    <t>Käsereigenossenschaft Ursenbach</t>
  </si>
  <si>
    <t>c/o Doris Siegenthaler-Schär</t>
  </si>
  <si>
    <t>Kehr 75a</t>
  </si>
  <si>
    <t>C110500</t>
  </si>
  <si>
    <t>Herstellung von Bier</t>
  </si>
  <si>
    <t>CHE-114.114.613</t>
  </si>
  <si>
    <t>Dindan Solutions GmbH</t>
  </si>
  <si>
    <t>Kirchgasse 1a</t>
  </si>
  <si>
    <t>C261100</t>
  </si>
  <si>
    <t>Herstellung von elektronischen Bauelementen</t>
  </si>
  <si>
    <t>CHE-109.109.708</t>
  </si>
  <si>
    <t>IAT Industrielle Anlagentechnik AG</t>
  </si>
  <si>
    <t>Wangenstrasse 80</t>
  </si>
  <si>
    <t>CHE-366.366.333</t>
  </si>
  <si>
    <t>Landolt Kanaltechnik AG</t>
  </si>
  <si>
    <t>Dennliweg 37 A</t>
  </si>
  <si>
    <t>CHE-108.108.470</t>
  </si>
  <si>
    <t>Hector Egger Holzbau AG</t>
  </si>
  <si>
    <t>CHE-102.102.206</t>
  </si>
  <si>
    <t>Häusler Ingenieure AG</t>
  </si>
  <si>
    <t>Bleichestrasse 9</t>
  </si>
  <si>
    <t>CHE-113.113.445</t>
  </si>
  <si>
    <t>CHE-102.102.057</t>
  </si>
  <si>
    <t>AKA-Leuchten AG</t>
  </si>
  <si>
    <t>CHE-106.106.615</t>
  </si>
  <si>
    <t>AGS Gebäude AG</t>
  </si>
  <si>
    <t>c/o Giesser AG</t>
  </si>
  <si>
    <t>F433900</t>
  </si>
  <si>
    <t>Sonstiger Ausbau a. n. g.</t>
  </si>
  <si>
    <t>CHE-261.261.826</t>
  </si>
  <si>
    <t>Swissglasboy GmbH</t>
  </si>
  <si>
    <t>F433403</t>
  </si>
  <si>
    <t>Glaserei</t>
  </si>
  <si>
    <t>CHE-105.105.099</t>
  </si>
  <si>
    <t>Piexon AG</t>
  </si>
  <si>
    <t>Bützbergstr. 1</t>
  </si>
  <si>
    <t>Höhestrasse 9</t>
  </si>
  <si>
    <t>CHE-108.108.039</t>
  </si>
  <si>
    <t>CHE-110.110.133</t>
  </si>
  <si>
    <t>Baselstrasse 32</t>
  </si>
  <si>
    <t>CHE-108.108.004</t>
  </si>
  <si>
    <t>Saatgut-Betrieb Grasswil Genossenschaft</t>
  </si>
  <si>
    <t>Regenhaldenstrasse 2</t>
  </si>
  <si>
    <t>CHE-277.277.266</t>
  </si>
  <si>
    <t>Witschi Service GmbH</t>
  </si>
  <si>
    <t>CHE-171.171.317</t>
  </si>
  <si>
    <t>SPAETIG MOTORRAD AG</t>
  </si>
  <si>
    <t>Unterdorf 139c</t>
  </si>
  <si>
    <t>CHE-102.102.711</t>
  </si>
  <si>
    <t>H. Reinhard AG</t>
  </si>
  <si>
    <t>CHE-242.242.589</t>
  </si>
  <si>
    <t>Kino Scala GmbH</t>
  </si>
  <si>
    <t>Lotzwilstrasse 7</t>
  </si>
  <si>
    <t>J591400</t>
  </si>
  <si>
    <t>Kinos</t>
  </si>
  <si>
    <t>CHE-101.101.213</t>
  </si>
  <si>
    <t>Création Baumann Holding AG</t>
  </si>
  <si>
    <t>Bern-Zuerich-Strasse 23</t>
  </si>
  <si>
    <t>CHE-113.113.858</t>
  </si>
  <si>
    <t>InfraWerk GmbH</t>
  </si>
  <si>
    <t>Duppenthal 22</t>
  </si>
  <si>
    <t>CHE-104.104.904</t>
  </si>
  <si>
    <t>Menz Gerüste AG</t>
  </si>
  <si>
    <t>Schenkstrasse 14</t>
  </si>
  <si>
    <t>CHE-101.101.653</t>
  </si>
  <si>
    <t>Bernhard Hugi Immobilien AG</t>
  </si>
  <si>
    <t>Bahnhofstr. 4</t>
  </si>
  <si>
    <t>CHE-101.101.548</t>
  </si>
  <si>
    <t>IVL Huttwil AG</t>
  </si>
  <si>
    <t>CHE-283.283.442</t>
  </si>
  <si>
    <t>Dulco GmbH</t>
  </si>
  <si>
    <t>Niederfeldweg 7</t>
  </si>
  <si>
    <t>CHE-107.107.885</t>
  </si>
  <si>
    <t>Kummer Treuhand AG</t>
  </si>
  <si>
    <t>Mittelstrasse 14</t>
  </si>
  <si>
    <t>CHE-107.107.266</t>
  </si>
  <si>
    <t>Schneider Galvano AG</t>
  </si>
  <si>
    <t>Steinackerweg 8</t>
  </si>
  <si>
    <t>CHE-113.113.552</t>
  </si>
  <si>
    <t>LEXA-Wohnmobile AG</t>
  </si>
  <si>
    <t>Bern-Zürichstrasse 49B</t>
  </si>
  <si>
    <t>CHE-331.331.608</t>
  </si>
  <si>
    <t>Gemeindebetriebe Roggwil (GBR)</t>
  </si>
  <si>
    <t>Bahnhofstrasse 8</t>
  </si>
  <si>
    <t>CHE-103.103.230</t>
  </si>
  <si>
    <t>Rukop AG</t>
  </si>
  <si>
    <t>CHE-113.113.962</t>
  </si>
  <si>
    <t>RHYTON GmbH</t>
  </si>
  <si>
    <t>CHE-101.101.308</t>
  </si>
  <si>
    <t>Novorex AG Immobilien</t>
  </si>
  <si>
    <t>Industriestrasse 10</t>
  </si>
  <si>
    <t>CHE-101.101.895</t>
  </si>
  <si>
    <t>ASKOMA AG</t>
  </si>
  <si>
    <t>CHE-107.107.562</t>
  </si>
  <si>
    <t>Dätwyler Fertigungs-Technologie AG</t>
  </si>
  <si>
    <t>Leenrütimattweg 6</t>
  </si>
  <si>
    <t>1-9 Mit.</t>
  </si>
  <si>
    <t>CHE-108.108.966</t>
  </si>
  <si>
    <t>Fritz Wyss</t>
  </si>
  <si>
    <t>Einzelunternehmen</t>
  </si>
  <si>
    <t>Kreuzfeldstrasse 52</t>
  </si>
  <si>
    <t>CHE-115.115.816</t>
  </si>
  <si>
    <t>Lantal SuperCo AG</t>
  </si>
  <si>
    <t>c/o Lantal Textiles AG</t>
  </si>
  <si>
    <t>Untere Dürrmühlestrasse 13</t>
  </si>
  <si>
    <t>K662200</t>
  </si>
  <si>
    <t>Tätigkeit von Versicherungsmaklerinnen und -maklern</t>
  </si>
  <si>
    <t>CHE-115.115.921</t>
  </si>
  <si>
    <t>Unterdorfstrasse 22</t>
  </si>
  <si>
    <t>Städtli 64</t>
  </si>
  <si>
    <t>Hintergasse 1</t>
  </si>
  <si>
    <t>Leenrütimattweg 3</t>
  </si>
  <si>
    <t>CHE-325.325.926</t>
  </si>
  <si>
    <t>measure design KlG</t>
  </si>
  <si>
    <t>Kollektivgesellschaft</t>
  </si>
  <si>
    <t>c/o Benno Urs Schäfer</t>
  </si>
  <si>
    <t>Unterer Bündtenackerweg 25</t>
  </si>
  <si>
    <t>CHE-239.239.447</t>
  </si>
  <si>
    <t>Bieler Holding GmbH</t>
  </si>
  <si>
    <t>c/o Bieler AG, Aarwangen</t>
  </si>
  <si>
    <t>Meiniswilstrasse 19</t>
  </si>
  <si>
    <t>Lagerstrasse 41</t>
  </si>
  <si>
    <t>N812100</t>
  </si>
  <si>
    <t>Allgemeine Gebäudereinigung</t>
  </si>
  <si>
    <t>CHE-452.452.057</t>
  </si>
  <si>
    <t>Getriebe Doc, Nistor</t>
  </si>
  <si>
    <t>Mange 1</t>
  </si>
  <si>
    <t>Lerchenweg 6</t>
  </si>
  <si>
    <t>Q869005</t>
  </si>
  <si>
    <t>Sonstige Aktivitäten der nicht-ärztlichen Medizinalberufe</t>
  </si>
  <si>
    <t>CHE-450.450.897</t>
  </si>
  <si>
    <t>Restaurant Mosteli Sarantsetseg Narangerel</t>
  </si>
  <si>
    <t>Mühleweg 3</t>
  </si>
  <si>
    <t>CHE-101.101.505</t>
  </si>
  <si>
    <t>Restaurant Frohsinn Keller Claudia</t>
  </si>
  <si>
    <t>Dorfstrasse 4</t>
  </si>
  <si>
    <t>CHE-145.145.515</t>
  </si>
  <si>
    <t>DM Renovation Demeter</t>
  </si>
  <si>
    <t>Zelgweg 55c</t>
  </si>
  <si>
    <t>F412004</t>
  </si>
  <si>
    <t>Unterhalt und Reparatur von Gebäuden</t>
  </si>
  <si>
    <t>Lagerstrasse 42</t>
  </si>
  <si>
    <t>S960202</t>
  </si>
  <si>
    <t>Kosmetiksalons</t>
  </si>
  <si>
    <t>CHE-341.341.893</t>
  </si>
  <si>
    <t>Coiffeur Okan GmbH</t>
  </si>
  <si>
    <t>Mittelstrasse 1</t>
  </si>
  <si>
    <t>S960201</t>
  </si>
  <si>
    <t>Coiffeursalons</t>
  </si>
  <si>
    <t>CHE-191.191.078</t>
  </si>
  <si>
    <t>CT GmbH</t>
  </si>
  <si>
    <t>Dornackerweg 17b</t>
  </si>
  <si>
    <t>N811000</t>
  </si>
  <si>
    <t>Hausmeisterdienste; Facility Management</t>
  </si>
  <si>
    <t>CHE-439.439.280</t>
  </si>
  <si>
    <t>feineTexte GmbH</t>
  </si>
  <si>
    <t>c/o Hans Baumberger</t>
  </si>
  <si>
    <t>Hinterbergweg 15B</t>
  </si>
  <si>
    <t>J619000</t>
  </si>
  <si>
    <t>Sonstige Telekommunikation</t>
  </si>
  <si>
    <t>CHE-147.147.217</t>
  </si>
  <si>
    <t>Valvero Finanzberatung GmbH</t>
  </si>
  <si>
    <t>St. Urbanstrasse 21</t>
  </si>
  <si>
    <t>CHE-290.290.276</t>
  </si>
  <si>
    <t>Rustikaler Landhausstil, Schär Caroline</t>
  </si>
  <si>
    <t>Heimenhausenstrasse 2</t>
  </si>
  <si>
    <t>CHE-267.267.370</t>
  </si>
  <si>
    <t>Tanner Service GmbH</t>
  </si>
  <si>
    <t>c/o Max Tanner</t>
  </si>
  <si>
    <t>Kalberweid 4</t>
  </si>
  <si>
    <t>CHE-213.213.610</t>
  </si>
  <si>
    <t>s. grüninger</t>
  </si>
  <si>
    <t>Balmbergstrasse 1</t>
  </si>
  <si>
    <t>CHE-115.115.451</t>
  </si>
  <si>
    <t>H. Hänsli hh-Kurier</t>
  </si>
  <si>
    <t>Weissensteinstrasse 17</t>
  </si>
  <si>
    <t>H532000</t>
  </si>
  <si>
    <t>Sonstige Post-, Kurier- und Expressdienste</t>
  </si>
  <si>
    <t>CHE-115.115.798</t>
  </si>
  <si>
    <t>Blumenladen Brigitte Zaugg</t>
  </si>
  <si>
    <t>St. Urbanstrasse 1</t>
  </si>
  <si>
    <t>CHE-114.114.005</t>
  </si>
  <si>
    <t>Lüthi und Hurni</t>
  </si>
  <si>
    <t>Rainweg 85 B</t>
  </si>
  <si>
    <t>Wydenstrasse 16</t>
  </si>
  <si>
    <t>G472401</t>
  </si>
  <si>
    <t>Detailhandel mit Back- und Süsswaren</t>
  </si>
  <si>
    <t>CHE-113.113.829</t>
  </si>
  <si>
    <t>Altersheim Leimatt AG</t>
  </si>
  <si>
    <t>Hauptstrasse 62</t>
  </si>
  <si>
    <t>CHE-112.112.683</t>
  </si>
  <si>
    <t>in4work GmbH</t>
  </si>
  <si>
    <t>Breiteweg 6</t>
  </si>
  <si>
    <t>CHE-112.112.489</t>
  </si>
  <si>
    <t>Graber HT GmbH</t>
  </si>
  <si>
    <t>Steingasse 22</t>
  </si>
  <si>
    <t>Rohrbachgraben</t>
  </si>
  <si>
    <t>CHE-110.110.269</t>
  </si>
  <si>
    <t>Baselstrasse 8</t>
  </si>
  <si>
    <t>CHE-110.110.237</t>
  </si>
  <si>
    <t>BelPro GmbH</t>
  </si>
  <si>
    <t>Johannes Glur-Weg 10</t>
  </si>
  <si>
    <t>CHE-110.110.159</t>
  </si>
  <si>
    <t>Sollberger Uhren-Optik</t>
  </si>
  <si>
    <t>Bielstrasse 9</t>
  </si>
  <si>
    <t>G477802</t>
  </si>
  <si>
    <t>Detailhandel mit Brillen und anderen Sehhilfen</t>
  </si>
  <si>
    <t>CHE-110.110.765</t>
  </si>
  <si>
    <t>Jakob-Käser-Stiftung Melchnau-Busswil</t>
  </si>
  <si>
    <t>Stiftung</t>
  </si>
  <si>
    <t>c/o Gemeindeverwaltung</t>
  </si>
  <si>
    <t>S949901</t>
  </si>
  <si>
    <t>Organisationen der Kultur, Bildung, Wissenschaft und Forschung</t>
  </si>
  <si>
    <t>CHE-110.110.544</t>
  </si>
  <si>
    <t>Jürg Stuker, Discovision</t>
  </si>
  <si>
    <t>Dorfstrasse 103</t>
  </si>
  <si>
    <t>Bahnhofstrasse 1</t>
  </si>
  <si>
    <t>CHE-109.109.965</t>
  </si>
  <si>
    <t>Mess- und Abschirmtechnik, Christian Bolter</t>
  </si>
  <si>
    <t>Langweg 19</t>
  </si>
  <si>
    <t>CHE-109.109.711</t>
  </si>
  <si>
    <t>Modellbau Stucki</t>
  </si>
  <si>
    <t>Alleeweg 6</t>
  </si>
  <si>
    <t>M749000</t>
  </si>
  <si>
    <t>Sonstige freiberufliche, wissenschaftliche und technische Tätigkeiten a. n. g.</t>
  </si>
  <si>
    <t>CHE-109.109.089</t>
  </si>
  <si>
    <t>Habegger Treuhand</t>
  </si>
  <si>
    <t>Hoelzlistrasse 10</t>
  </si>
  <si>
    <t>CHE-109.109.620</t>
  </si>
  <si>
    <t>Power-Kontakt-Verlag, K. Troller</t>
  </si>
  <si>
    <t>Brühlweg 21</t>
  </si>
  <si>
    <t>CHE-109.109.561</t>
  </si>
  <si>
    <t>S960300</t>
  </si>
  <si>
    <t>Bestattungswesen</t>
  </si>
  <si>
    <t>CHE-108.108.279</t>
  </si>
  <si>
    <t>Beat Roder</t>
  </si>
  <si>
    <t>CHE-108.108.941</t>
  </si>
  <si>
    <t>Werner Lerch</t>
  </si>
  <si>
    <t>Wallachern 1</t>
  </si>
  <si>
    <t>A014900</t>
  </si>
  <si>
    <t>Sonstige Tierhaltung</t>
  </si>
  <si>
    <t>CHE-108.108.239</t>
  </si>
  <si>
    <t>Gustoil Schüpbach</t>
  </si>
  <si>
    <t>Wangenstrasse 94</t>
  </si>
  <si>
    <t>CHE-108.108.853</t>
  </si>
  <si>
    <t>Berger Software</t>
  </si>
  <si>
    <t>Tannackerstrasse 10</t>
  </si>
  <si>
    <t>CHE-108.108.902</t>
  </si>
  <si>
    <t>M COIFFURE HAIRLINE, Ivana Corrado-Mighali</t>
  </si>
  <si>
    <t>Dorfstrasse 62</t>
  </si>
  <si>
    <t>CHE-108.108.645</t>
  </si>
  <si>
    <t>Salon Allmen, Habegger</t>
  </si>
  <si>
    <t>Allmengasse 5</t>
  </si>
  <si>
    <t>CHE-108.108.523</t>
  </si>
  <si>
    <t>Turnhallenstrasse 10</t>
  </si>
  <si>
    <t>CHE-108.108.334</t>
  </si>
  <si>
    <t>Schulhausstrasse 7 a</t>
  </si>
  <si>
    <t>G464602</t>
  </si>
  <si>
    <t>Grosshandel mit medizinischen, chirurgischen und orthopädischen Erzeugnissen</t>
  </si>
  <si>
    <t>CHE-108.108.738</t>
  </si>
  <si>
    <t>Air-Tech Heizung und Lüftung Reado Gissi</t>
  </si>
  <si>
    <t>Grabenstrasse 39</t>
  </si>
  <si>
    <t>CHE-108.108.280</t>
  </si>
  <si>
    <t>Garage K. Affolter</t>
  </si>
  <si>
    <t>Wangenstrasse 22B</t>
  </si>
  <si>
    <t>CHE-108.108.481</t>
  </si>
  <si>
    <t>Bijouterie L'eleganza, C. Winistörfer</t>
  </si>
  <si>
    <t>Marktgasse 7</t>
  </si>
  <si>
    <t>G477700</t>
  </si>
  <si>
    <t>Detailhandel mit Uhren und Schmuck</t>
  </si>
  <si>
    <t>Heinz Kopp, Transporte</t>
  </si>
  <si>
    <t>Baselstrasse 9</t>
  </si>
  <si>
    <t>CHE-108.108.760</t>
  </si>
  <si>
    <t>Fankhauser Bruno</t>
  </si>
  <si>
    <t>Aarwangenstrasse 85</t>
  </si>
  <si>
    <t>CHE-108.108.129</t>
  </si>
  <si>
    <t>Markus Ruch, Uhren-Bijouterie</t>
  </si>
  <si>
    <t>Huttwilstrasse 33</t>
  </si>
  <si>
    <t>CHE-107.107.053</t>
  </si>
  <si>
    <t>Tona AG Langenthal</t>
  </si>
  <si>
    <t>L683100</t>
  </si>
  <si>
    <t>Vermittlung von Grundstücken, Gebäuden und Wohnungen für Dritte</t>
  </si>
  <si>
    <t>CHE-107.107.364</t>
  </si>
  <si>
    <t>Atrium Trading, Charles Hafner</t>
  </si>
  <si>
    <t>Sonnhaldestrasse 67</t>
  </si>
  <si>
    <t>G477804</t>
  </si>
  <si>
    <t>Detailhandel mit Geschenkartikeln und Souvenirs</t>
  </si>
  <si>
    <t>CHE-107.107.633</t>
  </si>
  <si>
    <t>Ernst Gerber Holding AG</t>
  </si>
  <si>
    <t>c/o Ernst Gerber Reisen AG</t>
  </si>
  <si>
    <t>G464400</t>
  </si>
  <si>
    <t>Grosshandel mit keramischen Erzeugnissen, Glaswaren und Reinigungsmitteln</t>
  </si>
  <si>
    <t>CHE-107.107.511</t>
  </si>
  <si>
    <t>Automaten H.P. Rohrbach</t>
  </si>
  <si>
    <t>Obere Duerrmuehlestrasse 15</t>
  </si>
  <si>
    <t>CHE-107.107.505</t>
  </si>
  <si>
    <t>Trösch + Co.</t>
  </si>
  <si>
    <t>Kommanditgesellschaft</t>
  </si>
  <si>
    <t>Baumgarten 19 A</t>
  </si>
  <si>
    <t>Graben</t>
  </si>
  <si>
    <t>CHE-107.107.109</t>
  </si>
  <si>
    <t>Zürcher Hans-Ulrich</t>
  </si>
  <si>
    <t>Eigerweg 8</t>
  </si>
  <si>
    <t>CHE-107.107.367</t>
  </si>
  <si>
    <t>Della Neve Baumontage</t>
  </si>
  <si>
    <t>Wiesenweg 13</t>
  </si>
  <si>
    <t>G466500</t>
  </si>
  <si>
    <t>Grosshandel mit Büromöbeln</t>
  </si>
  <si>
    <t>CHE-107.107.725</t>
  </si>
  <si>
    <t>Niklaus Stuker</t>
  </si>
  <si>
    <t>Hofmattstrasse 18</t>
  </si>
  <si>
    <t>CHE-107.107.784</t>
  </si>
  <si>
    <t>Hanspeter Spahr</t>
  </si>
  <si>
    <t>Murgenthalstrasse 15</t>
  </si>
  <si>
    <t>C181202</t>
  </si>
  <si>
    <t>Siebdruck</t>
  </si>
  <si>
    <t>Hauptstrasse 49</t>
  </si>
  <si>
    <t>CHE-107.107.252</t>
  </si>
  <si>
    <t>Greub Keramik</t>
  </si>
  <si>
    <t>Bleienbachstrasse 5</t>
  </si>
  <si>
    <t>CHE-107.107.329</t>
  </si>
  <si>
    <t>Manfred Flückiger, Transporte</t>
  </si>
  <si>
    <t>Dorfstrasse 21</t>
  </si>
  <si>
    <t>Gutenburg</t>
  </si>
  <si>
    <t>CHE-107.107.539</t>
  </si>
  <si>
    <t>Beauty Center Langenthal P. Jacobs</t>
  </si>
  <si>
    <t>Lotzwilstrasse 4</t>
  </si>
  <si>
    <t>CHE-107.107.706</t>
  </si>
  <si>
    <t>C. Meyer-Moser</t>
  </si>
  <si>
    <t>Spitalgasse 24</t>
  </si>
  <si>
    <t>CHE-107.107.623</t>
  </si>
  <si>
    <t>Spitalgasse 14</t>
  </si>
  <si>
    <t>C321202</t>
  </si>
  <si>
    <t>Herstellung von Schmuck, Gold- und Silberschmiedwaren a. n. g. (ohne Fantasieschmuck)</t>
  </si>
  <si>
    <t>CHE-107.107.862</t>
  </si>
  <si>
    <t>Urs Walter Gloor</t>
  </si>
  <si>
    <t>Aarwangenstrasse 3</t>
  </si>
  <si>
    <t>G475903</t>
  </si>
  <si>
    <t>Detailhandel mit Einrichtungsgegenständen und Hausrat a. n. g.</t>
  </si>
  <si>
    <t>CHE-107.107.864</t>
  </si>
  <si>
    <t>Dorfstrasse 64</t>
  </si>
  <si>
    <t>CHE-107.107.535</t>
  </si>
  <si>
    <t>Daniel Wyss</t>
  </si>
  <si>
    <t>Bernstrasse 34</t>
  </si>
  <si>
    <t>CHE-107.107.587</t>
  </si>
  <si>
    <t>Baugeschäft Rickli</t>
  </si>
  <si>
    <t>Bernstrasse 5</t>
  </si>
  <si>
    <t>CHE-107.107.328</t>
  </si>
  <si>
    <t>Th. Seiler-Fuhrer</t>
  </si>
  <si>
    <t>G471105</t>
  </si>
  <si>
    <t>Kleine Geschäfte (&lt; 100 m2)</t>
  </si>
  <si>
    <t>CHE-106.106.933</t>
  </si>
  <si>
    <t>Peter Christen, Maurergeschäft</t>
  </si>
  <si>
    <t>Wiesenstrasse 5</t>
  </si>
  <si>
    <t>F439903</t>
  </si>
  <si>
    <t>Maurerarbeiten</t>
  </si>
  <si>
    <t>CHE-106.106.906</t>
  </si>
  <si>
    <t>Peter Brügger Transporte</t>
  </si>
  <si>
    <t>CHE-106.106.967</t>
  </si>
  <si>
    <t>Erwin Heer</t>
  </si>
  <si>
    <t>Unterstrasse 4</t>
  </si>
  <si>
    <t>CHE-106.106.539</t>
  </si>
  <si>
    <t>Foto Lang AG</t>
  </si>
  <si>
    <t>Schulhausstrasse 2</t>
  </si>
  <si>
    <t>G477803</t>
  </si>
  <si>
    <t>Detailhandel mit fotografischen Artikeln</t>
  </si>
  <si>
    <t>CHE-105.105.209</t>
  </si>
  <si>
    <t>Bäckerei-Konditorei Schär</t>
  </si>
  <si>
    <t>Spitalstrasse 4</t>
  </si>
  <si>
    <t>CHE-105.105.794</t>
  </si>
  <si>
    <t>Ryf Raumgestaltung</t>
  </si>
  <si>
    <t>Dorf 32</t>
  </si>
  <si>
    <t>Schulhausstrasse 1</t>
  </si>
  <si>
    <t>CHE-104.104.003</t>
  </si>
  <si>
    <t>Blumenboutique Gaby Ambühl</t>
  </si>
  <si>
    <t>Bernstrasse 40</t>
  </si>
  <si>
    <t>Bahnhofstrasse 14</t>
  </si>
  <si>
    <t>CHE-104.104.818</t>
  </si>
  <si>
    <t>Pagani und Partner GmbH</t>
  </si>
  <si>
    <t>c/o Giuseppe Pagani</t>
  </si>
  <si>
    <t>Ringstrasse 39</t>
  </si>
  <si>
    <t>CHE-103.103.220</t>
  </si>
  <si>
    <t>Haargenau Irene Leuenberger</t>
  </si>
  <si>
    <t>Silostrasse 11</t>
  </si>
  <si>
    <t>CHE-102.102.370</t>
  </si>
  <si>
    <t>Stettler Architektur &amp; Immobilien AG</t>
  </si>
  <si>
    <t>Jurastrasse 38</t>
  </si>
  <si>
    <t>CHE-102.102.242</t>
  </si>
  <si>
    <t>aisoft, Anliker Industrie Software</t>
  </si>
  <si>
    <t>CHE-102.102.175</t>
  </si>
  <si>
    <t>Interrep Services E. Stampfli</t>
  </si>
  <si>
    <t>St. Urbanstrasse 38</t>
  </si>
  <si>
    <t>S951100</t>
  </si>
  <si>
    <t>Reparatur von Datenverarbeitungsgeräten und peripheren Geräten</t>
  </si>
  <si>
    <t>CHE-102.102.703</t>
  </si>
  <si>
    <t>GEBR. SOLLBERGER</t>
  </si>
  <si>
    <t>CHE-102.102.889</t>
  </si>
  <si>
    <t>Stecasa AG</t>
  </si>
  <si>
    <t>CHE-101.101.218</t>
  </si>
  <si>
    <t>Bedachungen Maurhofer Niklaus</t>
  </si>
  <si>
    <t>CHE-101.101.489</t>
  </si>
  <si>
    <t>Arthur und Emma Ammann-Stiftung</t>
  </si>
  <si>
    <t>c/o Ammann Schweiz AG</t>
  </si>
  <si>
    <t>K653000</t>
  </si>
  <si>
    <t>Pensionskassen und Pensionsfonds</t>
  </si>
  <si>
    <t>CHE-101.101.426</t>
  </si>
  <si>
    <t>Wangenstrasse 11</t>
  </si>
  <si>
    <t>Wanzwil</t>
  </si>
  <si>
    <t>CHE-101.101.793</t>
  </si>
  <si>
    <t>Zaugg-Air Ballonfahrten</t>
  </si>
  <si>
    <t>H512100</t>
  </si>
  <si>
    <t>Güterbeförderung in der Luftfahrt</t>
  </si>
  <si>
    <t>c/o Beat Brunner</t>
  </si>
  <si>
    <t>Gasse 6</t>
  </si>
  <si>
    <t>Hermiswil</t>
  </si>
  <si>
    <t>G462200</t>
  </si>
  <si>
    <t>Grosshandel mit Blumen und Pflanzen</t>
  </si>
  <si>
    <t>CHE-100.100.395</t>
  </si>
  <si>
    <t>Storchenturm AG</t>
  </si>
  <si>
    <t>c/o Theodor Grob</t>
  </si>
  <si>
    <t>Birkenweg 3</t>
  </si>
  <si>
    <t>CHE-100.100.113</t>
  </si>
  <si>
    <t>Getränkehandel Rudolf Anderegg</t>
  </si>
  <si>
    <t>Hardstrasse 33</t>
  </si>
  <si>
    <t>CHE-100.100.620</t>
  </si>
  <si>
    <t>Gök &amp; Gültekin, Restaurant Rössli</t>
  </si>
  <si>
    <t>Marktgasse 17</t>
  </si>
  <si>
    <t>CHE-107.107.149</t>
  </si>
  <si>
    <t>Treuhand Emme AG</t>
  </si>
  <si>
    <t>CHE-107.107.284</t>
  </si>
  <si>
    <t>Carrosserie L. Hoogendoorn</t>
  </si>
  <si>
    <t>CHE-231.231.501</t>
  </si>
  <si>
    <t>Mauerhofer Anhänger GmbH</t>
  </si>
  <si>
    <t>c/o Dominik Mauerhofer</t>
  </si>
  <si>
    <t>Hürnlis 12</t>
  </si>
  <si>
    <t>CHE-476.476.981</t>
  </si>
  <si>
    <t>Lian &amp; Partner GmbH</t>
  </si>
  <si>
    <t>c/o Treuhandbüro Geissbühler</t>
  </si>
  <si>
    <t>Wangenstrasse 74</t>
  </si>
  <si>
    <t>CHE-103.103.521</t>
  </si>
  <si>
    <t>M. Flückiger</t>
  </si>
  <si>
    <t>Luzernstrasse 16</t>
  </si>
  <si>
    <t>CHE-148.148.614</t>
  </si>
  <si>
    <t>Dr. Reto Wyss EnterTrainment GmbH</t>
  </si>
  <si>
    <t>c/o Dr. Reto Wyss</t>
  </si>
  <si>
    <t>Oenzbergstrasse 7a</t>
  </si>
  <si>
    <t>Haselweg 14</t>
  </si>
  <si>
    <t>CHE-109.109.536</t>
  </si>
  <si>
    <t>Pensionskasse der AMMANN-Unternehmungen</t>
  </si>
  <si>
    <t>CHE-109.109.665</t>
  </si>
  <si>
    <t>CHE-114.114.574</t>
  </si>
  <si>
    <t>Beauty Center Kosmetik Michèle Jacobs</t>
  </si>
  <si>
    <t>CHE-106.106.085</t>
  </si>
  <si>
    <t>GARAGE PNEUHAUS Bruno Langenegger</t>
  </si>
  <si>
    <t>CHE-106.106.265</t>
  </si>
  <si>
    <t>Fritz Nyffeler</t>
  </si>
  <si>
    <t>Bahnhofstrasse 2</t>
  </si>
  <si>
    <t>CHE-109.109.527</t>
  </si>
  <si>
    <t>apropos informatik gmbh</t>
  </si>
  <si>
    <t>Schenkstrasse 6</t>
  </si>
  <si>
    <t>CHE-111.111.807</t>
  </si>
  <si>
    <t>ABC DRUCK AG</t>
  </si>
  <si>
    <t>Mühlebachstrasse 2</t>
  </si>
  <si>
    <t>CHE-350.350.866</t>
  </si>
  <si>
    <t>Schaub Restaurants GmbH, Zweigniederlassung Langenthal</t>
  </si>
  <si>
    <t>Zweigniederlassung</t>
  </si>
  <si>
    <t>Melchnaustrasse 1</t>
  </si>
  <si>
    <t>C205100</t>
  </si>
  <si>
    <t>Herstellung von pyrotechnischen Erzeugnissen</t>
  </si>
  <si>
    <t>CHE-349.349.183</t>
  </si>
  <si>
    <t>Naturseifä by Livia Urben</t>
  </si>
  <si>
    <t>Steingasse 11</t>
  </si>
  <si>
    <t>CHE-353.353.826</t>
  </si>
  <si>
    <t>Brocki - Schnäppli M. Nyffeler</t>
  </si>
  <si>
    <t>G477902</t>
  </si>
  <si>
    <t>Detailhandel mit Gebrauchtwaren a. n. g. (in Verkaufsräumen)</t>
  </si>
  <si>
    <t>CHE-338.338.805</t>
  </si>
  <si>
    <t>Better Job Nikolic</t>
  </si>
  <si>
    <t>Bleienbachstrasse 4A</t>
  </si>
  <si>
    <t>N781000</t>
  </si>
  <si>
    <t>Vermittlung von Arbeitskräften</t>
  </si>
  <si>
    <t>CHE-428.428.762</t>
  </si>
  <si>
    <t>zähntrum Wangen AG</t>
  </si>
  <si>
    <t>Stadthof 1</t>
  </si>
  <si>
    <t>Q862300</t>
  </si>
  <si>
    <t>Zahnarztpraxen</t>
  </si>
  <si>
    <t>CHE-259.259.811</t>
  </si>
  <si>
    <t>dr objekt GmbH</t>
  </si>
  <si>
    <t>Zürichstrasse 42</t>
  </si>
  <si>
    <t>CHE-426.426.899</t>
  </si>
  <si>
    <t>TechSolutions Thurnherr</t>
  </si>
  <si>
    <t>Kohlholz 22</t>
  </si>
  <si>
    <t>CHE-370.370.367</t>
  </si>
  <si>
    <t>due mani GmbH</t>
  </si>
  <si>
    <t>Länggasse 4</t>
  </si>
  <si>
    <t>CHE-223.223.782</t>
  </si>
  <si>
    <t>GO Makler GmbH</t>
  </si>
  <si>
    <t>Aarwangenstrasse 98</t>
  </si>
  <si>
    <t>CHE-219.219.505</t>
  </si>
  <si>
    <t>Mind Revolution GmbH</t>
  </si>
  <si>
    <t>P855100</t>
  </si>
  <si>
    <t>Sport- und Freizeitunterricht</t>
  </si>
  <si>
    <t>CHE-186.186.433</t>
  </si>
  <si>
    <t>Kadar Bau GmbH</t>
  </si>
  <si>
    <t>Hauptstrasse 4</t>
  </si>
  <si>
    <t>CHE-197.197.871</t>
  </si>
  <si>
    <t>ClassicHomes GmbH</t>
  </si>
  <si>
    <t>CHE-384.384.771</t>
  </si>
  <si>
    <t>Gefi AG</t>
  </si>
  <si>
    <t>CHE-401.401.825</t>
  </si>
  <si>
    <t>Autocenter Fatjani AG</t>
  </si>
  <si>
    <t>CHE-228.228.943</t>
  </si>
  <si>
    <t>Riedgasse 18</t>
  </si>
  <si>
    <t>Q869002</t>
  </si>
  <si>
    <t>Physiotherapie</t>
  </si>
  <si>
    <t>CHE-190.190.370</t>
  </si>
  <si>
    <t>Billeter Malergeschäft</t>
  </si>
  <si>
    <t>Oberdorf 7</t>
  </si>
  <si>
    <t>F433401</t>
  </si>
  <si>
    <t>Malerei</t>
  </si>
  <si>
    <t>CHE-163.163.563</t>
  </si>
  <si>
    <t>Treuhandbüro Ursula Wüthrich</t>
  </si>
  <si>
    <t>Farbgasse 72</t>
  </si>
  <si>
    <t>CHE-115.115.120</t>
  </si>
  <si>
    <t>HaarMonie Coiffure und med. Kosmetik Christine Graber</t>
  </si>
  <si>
    <t>Huttwilstrasse 24</t>
  </si>
  <si>
    <t>CHE-115.115.279</t>
  </si>
  <si>
    <t>Grille Tankrevisionen</t>
  </si>
  <si>
    <t>Lehmgrubenweg 8</t>
  </si>
  <si>
    <t>C331100</t>
  </si>
  <si>
    <t>Reparatur von Metallerzeugnissen</t>
  </si>
  <si>
    <t>G477400</t>
  </si>
  <si>
    <t>Detailhandel mit medizinischen und orthopädischen Artikeln</t>
  </si>
  <si>
    <t>CHE-115.115.353</t>
  </si>
  <si>
    <t>Grossenbacher Storenmontage GmbH</t>
  </si>
  <si>
    <t>Welschlandstrasse 34</t>
  </si>
  <si>
    <t>F432902</t>
  </si>
  <si>
    <t>Sonstige Bauinstallation</t>
  </si>
  <si>
    <t>CHE-114.114.297</t>
  </si>
  <si>
    <t>Feldmann Malerei</t>
  </si>
  <si>
    <t>Tanngraben 14</t>
  </si>
  <si>
    <t>CHE-114.114.243</t>
  </si>
  <si>
    <t>JOST KMU CONSULTING</t>
  </si>
  <si>
    <t>CHE-114.114.616</t>
  </si>
  <si>
    <t>Verband der Grobeisenhändler des Kantons Bern</t>
  </si>
  <si>
    <t>Verein</t>
  </si>
  <si>
    <t>Marktgasse 30</t>
  </si>
  <si>
    <t>CHE-114.114.685</t>
  </si>
  <si>
    <t>Monika Sulser-Beratungen</t>
  </si>
  <si>
    <t>Walden 2</t>
  </si>
  <si>
    <t>Steingasse 15</t>
  </si>
  <si>
    <t>CHE-113.113.127</t>
  </si>
  <si>
    <t>Eberhart Gartenbau GmbH</t>
  </si>
  <si>
    <t>Langenthalstrasse 51</t>
  </si>
  <si>
    <t>Lotzwilstrasse 1</t>
  </si>
  <si>
    <t>CHE-113.113.820</t>
  </si>
  <si>
    <t>Ritter - Import / Export - Langenthal</t>
  </si>
  <si>
    <t>Zeieweg 9</t>
  </si>
  <si>
    <t>CHE-113.113.065</t>
  </si>
  <si>
    <t>Zaugg Sanitär GmbH</t>
  </si>
  <si>
    <t>Hauptstrasse 47 c</t>
  </si>
  <si>
    <t>Kirchstrasse 3</t>
  </si>
  <si>
    <t>G475902</t>
  </si>
  <si>
    <t>Detailhandel mit Möbeln</t>
  </si>
  <si>
    <t>CHE-112.112.731</t>
  </si>
  <si>
    <t>Peter Walker GmbH</t>
  </si>
  <si>
    <t>c/o Peter + Brigitte Walker-Wüthrich</t>
  </si>
  <si>
    <t>CHE-111.111.625</t>
  </si>
  <si>
    <t>Schärer &amp; Co., Architekturbüro</t>
  </si>
  <si>
    <t>CHE-110.110.706</t>
  </si>
  <si>
    <t>Muqaj EDV-Dienstleistungen</t>
  </si>
  <si>
    <t>Obere Dürrmühlestrasse 31</t>
  </si>
  <si>
    <t>CHE-110.110.049</t>
  </si>
  <si>
    <t>Wässermatten-Stiftung</t>
  </si>
  <si>
    <t>c/o Markus Maag</t>
  </si>
  <si>
    <t>CHE-110.110.134</t>
  </si>
  <si>
    <t>FML BAUTECHNIK HAUSTECHNIK WÄRMETECHNIK, Friederich Markus</t>
  </si>
  <si>
    <t>Bleichihofweg 14</t>
  </si>
  <si>
    <t>CHE-109.109.899</t>
  </si>
  <si>
    <t>Leuenberger Volierenbau</t>
  </si>
  <si>
    <t>G477603</t>
  </si>
  <si>
    <t>Detailhandel mit Haustieren und zoologischem Bedarf für Haustiere</t>
  </si>
  <si>
    <t>CHE-109.109.549</t>
  </si>
  <si>
    <t>Garage Bogdanovic</t>
  </si>
  <si>
    <t>Gartenstrasse 8</t>
  </si>
  <si>
    <t>CHE-109.109.492</t>
  </si>
  <si>
    <t>Wohlfahrtsstiftung der Firma Gugelmann &amp; Cie. AG</t>
  </si>
  <si>
    <t>c/o Lorze Logistik AG</t>
  </si>
  <si>
    <t>Bahnhofstrasse 107</t>
  </si>
  <si>
    <t>CHE-109.109.630</t>
  </si>
  <si>
    <t>Personalfürsorgestiftung der OLG</t>
  </si>
  <si>
    <t>Chasseralstrasse 1 - 3</t>
  </si>
  <si>
    <t>CHE-109.109.416</t>
  </si>
  <si>
    <t>Guggisberg</t>
  </si>
  <si>
    <t>Baerenweg 17</t>
  </si>
  <si>
    <t>G467303</t>
  </si>
  <si>
    <t>Grosshandel mit Flachglas, Anstrichmitteln und Sanitärkeramik</t>
  </si>
  <si>
    <t>Peter Lüthi Innenausbau</t>
  </si>
  <si>
    <t>Schwarzenbach</t>
  </si>
  <si>
    <t>CHE-109.109.850</t>
  </si>
  <si>
    <t>Holzarbeiten und Umbauten Ernst Ischi</t>
  </si>
  <si>
    <t>Im Loch 2</t>
  </si>
  <si>
    <t>A014100</t>
  </si>
  <si>
    <t>Haltung von Milchkühen</t>
  </si>
  <si>
    <t>CHE-109.109.828</t>
  </si>
  <si>
    <t>A + F Immo AG</t>
  </si>
  <si>
    <t>c/o Fritz und Annemarie Bürki-Aebi</t>
  </si>
  <si>
    <t>Wiesenstrasse 3</t>
  </si>
  <si>
    <t>CHE-109.109.927</t>
  </si>
  <si>
    <t>Heinz Fischer, Bau- und Kunstschlosserei</t>
  </si>
  <si>
    <t>Rotfarbgasse 5</t>
  </si>
  <si>
    <t>CHE-108.108.653</t>
  </si>
  <si>
    <t>Samuel Günter, Gartenbau</t>
  </si>
  <si>
    <t>Bachstrasse 4</t>
  </si>
  <si>
    <t>A011900</t>
  </si>
  <si>
    <t>Anbau von sonstigen einjährigen Pflanzen</t>
  </si>
  <si>
    <t>CHE-108.108.339</t>
  </si>
  <si>
    <t>Marti's Frischprodukte, Angelika + Reto Marti</t>
  </si>
  <si>
    <t>Langenthalstrasse 84 a</t>
  </si>
  <si>
    <t>CHE-108.108.993</t>
  </si>
  <si>
    <t>Netcast AG</t>
  </si>
  <si>
    <t>Am Bach 17</t>
  </si>
  <si>
    <t>CHE-108.108.059</t>
  </si>
  <si>
    <t>Ficon Stalder GmbH</t>
  </si>
  <si>
    <t>K663002</t>
  </si>
  <si>
    <t>Fondsmanagement</t>
  </si>
  <si>
    <t>CHE-108.108.559</t>
  </si>
  <si>
    <t>Ernst + Nyffeler Architekten AG</t>
  </si>
  <si>
    <t>Eisenbahnstrasse 9</t>
  </si>
  <si>
    <t>Garage P. Schindler jun.</t>
  </si>
  <si>
    <t>Langenthalstrasse 26</t>
  </si>
  <si>
    <t>CHE-107.107.886</t>
  </si>
  <si>
    <t>Herrenmode Muralt</t>
  </si>
  <si>
    <t>Bahnhofstrasse 35</t>
  </si>
  <si>
    <t>G477102</t>
  </si>
  <si>
    <t>Detailhandel mit Herrenbekleidung</t>
  </si>
  <si>
    <t>CHE-107.107.473</t>
  </si>
  <si>
    <t>S952400</t>
  </si>
  <si>
    <t>Reparatur von Möbeln und Einrichtungsgegenständen</t>
  </si>
  <si>
    <t>CHE-107.107.788</t>
  </si>
  <si>
    <t>Milchgenossenschaft Glasbach</t>
  </si>
  <si>
    <t>c/o Rolf Schneider</t>
  </si>
  <si>
    <t>Glasbach 57</t>
  </si>
  <si>
    <t>CHE-107.107.707</t>
  </si>
  <si>
    <t>CHE-106.106.544</t>
  </si>
  <si>
    <t>Rudolf Gabi</t>
  </si>
  <si>
    <t>Dorfstrasse 36</t>
  </si>
  <si>
    <t>CHE-106.106.383</t>
  </si>
  <si>
    <t>Tisra AG</t>
  </si>
  <si>
    <t>Dorfstrasse 13</t>
  </si>
  <si>
    <t>CHE-106.106.510</t>
  </si>
  <si>
    <t>Alpgenossenschaft Stierenberg Farnern</t>
  </si>
  <si>
    <t>A015000</t>
  </si>
  <si>
    <t>Gemischte Landwirtschaft</t>
  </si>
  <si>
    <t>CHE-105.105.859</t>
  </si>
  <si>
    <t>Hans Kleeb-Etter</t>
  </si>
  <si>
    <t>Hauptstrasse 45</t>
  </si>
  <si>
    <t>CHE-112.112.758</t>
  </si>
  <si>
    <t>LUBIMER GmbH</t>
  </si>
  <si>
    <t>CHE-154.154.394</t>
  </si>
  <si>
    <t>Real Zäune AG</t>
  </si>
  <si>
    <t>Buchsistrasse 11 a</t>
  </si>
  <si>
    <t>CHE-104.104.475</t>
  </si>
  <si>
    <t>FREIZEITOASE GmbH</t>
  </si>
  <si>
    <t>Lengacker 119 B</t>
  </si>
  <si>
    <t>I563002</t>
  </si>
  <si>
    <t>Diskotheken, Dancings, Night Clubs</t>
  </si>
  <si>
    <t>CHE-102.102.507</t>
  </si>
  <si>
    <t>Ernst Kölliker</t>
  </si>
  <si>
    <t>Langenthalstrasse 7</t>
  </si>
  <si>
    <t>CHE-102.102.306</t>
  </si>
  <si>
    <t>Matthias Heiniger</t>
  </si>
  <si>
    <t>Lotzwilstrasse 9 a</t>
  </si>
  <si>
    <t>CHE-102.102.188</t>
  </si>
  <si>
    <t>Maschinengenossenschaft Grasswil-Seeberg</t>
  </si>
  <si>
    <t>c/o Roland Grütter</t>
  </si>
  <si>
    <t>Leinackerstrasse 5</t>
  </si>
  <si>
    <t>Seeberg</t>
  </si>
  <si>
    <t>N773100</t>
  </si>
  <si>
    <t>Vermietung von landwirtschaftlichen Maschinen und Geräten</t>
  </si>
  <si>
    <t>CHE-102.102.891</t>
  </si>
  <si>
    <t>Portugiesischer Verein von Langenthal</t>
  </si>
  <si>
    <t>Aarwangenstrasse 69</t>
  </si>
  <si>
    <t>CHE-101.101.340</t>
  </si>
  <si>
    <t>L682001</t>
  </si>
  <si>
    <t>Vermietung und Verpachtung von eigenen oder geleasten Grundstücken</t>
  </si>
  <si>
    <t>CHE-101.101.430</t>
  </si>
  <si>
    <t>Trend Home Immobilien AG</t>
  </si>
  <si>
    <t>Baselstrasse 23 B</t>
  </si>
  <si>
    <t>CHE-100.100.032</t>
  </si>
  <si>
    <t>Elektro Feldmann AG Ursenbach</t>
  </si>
  <si>
    <t>CHE-100.100.612</t>
  </si>
  <si>
    <t>Bleue Cote GmbH</t>
  </si>
  <si>
    <t>Ringstrasse 61b</t>
  </si>
  <si>
    <t>CHE-100.100.483</t>
  </si>
  <si>
    <t>Berger Bruno</t>
  </si>
  <si>
    <t>CHE-100.100.146</t>
  </si>
  <si>
    <t>Jakob Oberli-Meier</t>
  </si>
  <si>
    <t>c/o Käserei</t>
  </si>
  <si>
    <t>Walliswil bei Niederbip</t>
  </si>
  <si>
    <t>CHE-114.114.245</t>
  </si>
  <si>
    <t>I561003</t>
  </si>
  <si>
    <t>Verwaltung von Restaurantssbetrieben</t>
  </si>
  <si>
    <t>CHE-269.269.693</t>
  </si>
  <si>
    <t>Fiechtenpark AG</t>
  </si>
  <si>
    <t>Roggenweg 8</t>
  </si>
  <si>
    <t>CHE-107.107.976</t>
  </si>
  <si>
    <t>ImmobilienGenossenschaft Oberaargau</t>
  </si>
  <si>
    <t>Bergstrasse 1</t>
  </si>
  <si>
    <t>CHE-100.100.376</t>
  </si>
  <si>
    <t>Stiftung Alterswohnungen Deckergasse</t>
  </si>
  <si>
    <t>Deckergasse 2</t>
  </si>
  <si>
    <t>CHE-294.294.717</t>
  </si>
  <si>
    <t>TMD Global Consulting GmbH</t>
  </si>
  <si>
    <t>Fliederweg 16</t>
  </si>
  <si>
    <t>Kreuzfeldweg 3</t>
  </si>
  <si>
    <t>Röthenbach Herzogenbuchsee</t>
  </si>
  <si>
    <t>Sägetweg 2</t>
  </si>
  <si>
    <t>CHE-283.283.007</t>
  </si>
  <si>
    <t>Feldstrasse 39</t>
  </si>
  <si>
    <t>M721900</t>
  </si>
  <si>
    <t>Sonstige Forschung und Entwicklung im Bereich Natur-, Ingenieur-, Agrarwissenschaften und Medizin</t>
  </si>
  <si>
    <t>CHE-466.466.471</t>
  </si>
  <si>
    <t>Winkelmann KLG</t>
  </si>
  <si>
    <t>Haldimoosstrasse 18</t>
  </si>
  <si>
    <t>A014200</t>
  </si>
  <si>
    <t>Haltung von anderen Tieren der Rindergattung</t>
  </si>
  <si>
    <t>F433301</t>
  </si>
  <si>
    <t>Verlegen von Fussboden</t>
  </si>
  <si>
    <t>CHE-112.112.801</t>
  </si>
  <si>
    <t>Cap Informatik</t>
  </si>
  <si>
    <t>Allmengasse 35</t>
  </si>
  <si>
    <t>P855902</t>
  </si>
  <si>
    <t>Informatikunterricht</t>
  </si>
  <si>
    <t>CHE-278.278.011</t>
  </si>
  <si>
    <t>Helmhart GmbH</t>
  </si>
  <si>
    <t>Farbgasse 65</t>
  </si>
  <si>
    <t>CHE-243.243.439</t>
  </si>
  <si>
    <t>H &amp; R Bären GmbH</t>
  </si>
  <si>
    <t>CHE-275.275.250</t>
  </si>
  <si>
    <t>U. + B. Steiner, Hauswartung / Reinigung</t>
  </si>
  <si>
    <t>Brunngasse 28</t>
  </si>
  <si>
    <t>CHE-274.274.868</t>
  </si>
  <si>
    <t>RFC-Computer S. Santschi</t>
  </si>
  <si>
    <t>Unterdorfstrasse 56</t>
  </si>
  <si>
    <t>CHE-274.274.931</t>
  </si>
  <si>
    <t>Riff-Shop Inhaber Strametz</t>
  </si>
  <si>
    <t>Rumiweg 38</t>
  </si>
  <si>
    <t>CHE-272.272.228</t>
  </si>
  <si>
    <t>Rosenast Haustechnik AG</t>
  </si>
  <si>
    <t>Wangenriedstrasse 2</t>
  </si>
  <si>
    <t>CHE-405.405.211</t>
  </si>
  <si>
    <t>Therese Anita Heiniger-Muhmenthaler</t>
  </si>
  <si>
    <t>Wangenstrasse 36</t>
  </si>
  <si>
    <t>CHE-112.112.152</t>
  </si>
  <si>
    <t>Leuenberger Sanitär GmbH</t>
  </si>
  <si>
    <t>Dorfstrasse 48</t>
  </si>
  <si>
    <t>Blumenweg 4</t>
  </si>
  <si>
    <t>CHE-200.200.825</t>
  </si>
  <si>
    <t>CHE-442.442.724</t>
  </si>
  <si>
    <t>zube GmbH</t>
  </si>
  <si>
    <t>Hölzlistrasse 40</t>
  </si>
  <si>
    <t>CHE-108.108.068</t>
  </si>
  <si>
    <t>Schlosserei Anderegg GmbH</t>
  </si>
  <si>
    <t>Reutergässli 7</t>
  </si>
  <si>
    <t>Spitalgasse 8</t>
  </si>
  <si>
    <t>CHE-116.116.262</t>
  </si>
  <si>
    <t>SFG Treuhand GmbH</t>
  </si>
  <si>
    <t>Baselstrasse 11</t>
  </si>
  <si>
    <t>CHE-112.112.375</t>
  </si>
  <si>
    <t>Witschi Group AG</t>
  </si>
  <si>
    <t>c/o Witschi AG</t>
  </si>
  <si>
    <t>CHE-106.106.676</t>
  </si>
  <si>
    <t>Friedli Mechanik AG</t>
  </si>
  <si>
    <t>CHE-114.114.639</t>
  </si>
  <si>
    <t>Stiftung Lydia Eymann</t>
  </si>
  <si>
    <t>Aarwangenstrasse 55</t>
  </si>
  <si>
    <t>CHE-381.381.933</t>
  </si>
  <si>
    <t>OvaliS AG</t>
  </si>
  <si>
    <t>Bernstrasse 72b</t>
  </si>
  <si>
    <t>CHE-103.103.304</t>
  </si>
  <si>
    <t>Urben AG</t>
  </si>
  <si>
    <t>Bitziusstrasse 15</t>
  </si>
  <si>
    <t>G475400</t>
  </si>
  <si>
    <t>Detailhandel mit elektrischen Haushaltsgeräten</t>
  </si>
  <si>
    <t>CHE-114.114.792</t>
  </si>
  <si>
    <t>VIPworld GmbH</t>
  </si>
  <si>
    <t>N822000</t>
  </si>
  <si>
    <t>Call Centers</t>
  </si>
  <si>
    <t>CHE-181.181.832</t>
  </si>
  <si>
    <t>BrunnBachKresse GmbH</t>
  </si>
  <si>
    <t>Brunnmatt 61</t>
  </si>
  <si>
    <t>A012800</t>
  </si>
  <si>
    <t>Anbau von Gewürzpflanzen, Pflanzen für aromatische, narkotische und pharmazeutische Zwecke</t>
  </si>
  <si>
    <t>CHE-108.108.208</t>
  </si>
  <si>
    <t>Peter Ryser</t>
  </si>
  <si>
    <t>M731200</t>
  </si>
  <si>
    <t>Vermarktung und Vermittlung von Werbezeiten und Werbeflächen</t>
  </si>
  <si>
    <t>CHE-101.101.636</t>
  </si>
  <si>
    <t>Gemüse AG</t>
  </si>
  <si>
    <t>CHE-101.101.227</t>
  </si>
  <si>
    <t>Kocher AG</t>
  </si>
  <si>
    <t>c/o Christoph Landolt</t>
  </si>
  <si>
    <t>Schützenstrasse 24</t>
  </si>
  <si>
    <t>G464801</t>
  </si>
  <si>
    <t>Grosshandel mit Uhren</t>
  </si>
  <si>
    <t>CHE-144.144.461</t>
  </si>
  <si>
    <t>JFK Horse World AG</t>
  </si>
  <si>
    <t>Gartenstrasse 13</t>
  </si>
  <si>
    <t>G451101</t>
  </si>
  <si>
    <t>Handelsvermittlung und Grosshandel mit Automobilen mit einem Gesamtgewicht von 3,5 t oder weniger</t>
  </si>
  <si>
    <t>CHE-106.106.543</t>
  </si>
  <si>
    <t>Eibo AG</t>
  </si>
  <si>
    <t>Gerbeweg 10</t>
  </si>
  <si>
    <t>CHE-101.101.392</t>
  </si>
  <si>
    <t>Alisa Autocenter AG</t>
  </si>
  <si>
    <t>Zürichstrasse 90</t>
  </si>
  <si>
    <t>CHE-287.287.804</t>
  </si>
  <si>
    <t>Attente GmbH</t>
  </si>
  <si>
    <t>Milanweg 4</t>
  </si>
  <si>
    <t>Grubenstrasse 12</t>
  </si>
  <si>
    <t>N791100</t>
  </si>
  <si>
    <t>Reisebüros</t>
  </si>
  <si>
    <t>CHE-109.109.874</t>
  </si>
  <si>
    <t>Autocenter Fritz Ingold</t>
  </si>
  <si>
    <t>Bleienbachstrasse 54</t>
  </si>
  <si>
    <t>CHE-347.347.441</t>
  </si>
  <si>
    <t>myWork AG Niederbipp</t>
  </si>
  <si>
    <t>Wydenstrasse 17</t>
  </si>
  <si>
    <t>CHE-105.105.988</t>
  </si>
  <si>
    <t>Stiftung Regionales Arbeitszentrum (RAZ) Herzogenbuchsee</t>
  </si>
  <si>
    <t>Oberholzweg 14</t>
  </si>
  <si>
    <t>Q873002</t>
  </si>
  <si>
    <t>Institutionen für Behinderte</t>
  </si>
  <si>
    <t>CHE-107.107.758</t>
  </si>
  <si>
    <t>Walter Uebersax AG</t>
  </si>
  <si>
    <t>H493200</t>
  </si>
  <si>
    <t>Betrieb von Taxis</t>
  </si>
  <si>
    <t>CHE-267.267.064</t>
  </si>
  <si>
    <t>Stereofile AG</t>
  </si>
  <si>
    <t>c/o Martin Lehmann</t>
  </si>
  <si>
    <t>Taubenrainweg 1</t>
  </si>
  <si>
    <t>G474300</t>
  </si>
  <si>
    <t>Detailhandel mit Geräten der Unterhaltungselektronik</t>
  </si>
  <si>
    <t>CHE-267.267.242</t>
  </si>
  <si>
    <t>Bösiger Immobilien AG</t>
  </si>
  <si>
    <t>Dorfstrasse 9</t>
  </si>
  <si>
    <t>CHE-263.263.575</t>
  </si>
  <si>
    <t>KO-FA Genossenschaft</t>
  </si>
  <si>
    <t>Bernstrasse 16</t>
  </si>
  <si>
    <t>CHE-262.262.374</t>
  </si>
  <si>
    <t>RD Management und Consulting GmbH</t>
  </si>
  <si>
    <t>Allmengasse 1</t>
  </si>
  <si>
    <t>CHE-258.258.542</t>
  </si>
  <si>
    <t>Fine Gastro Goods GmbH</t>
  </si>
  <si>
    <t>Nelkenweg 2</t>
  </si>
  <si>
    <t>G463401</t>
  </si>
  <si>
    <t>Grosshandel mit Wein und Spirituosen</t>
  </si>
  <si>
    <t>CHE-253.253.554</t>
  </si>
  <si>
    <t>HCS Holding AG</t>
  </si>
  <si>
    <t>c/o Schär Landtechnik AG</t>
  </si>
  <si>
    <t>CHE-248.248.717</t>
  </si>
  <si>
    <t>3+2 immo ag</t>
  </si>
  <si>
    <t>CHE-246.246.252</t>
  </si>
  <si>
    <t>R&amp;H Engineering GmbH</t>
  </si>
  <si>
    <t>Rumiweg 15a</t>
  </si>
  <si>
    <t>CHE-130.130.569</t>
  </si>
  <si>
    <t>3W-GROUP AG</t>
  </si>
  <si>
    <t>CHE-113.113.813</t>
  </si>
  <si>
    <t>Himag Handel GmbH</t>
  </si>
  <si>
    <t>c/o Indigo Treuhand AG</t>
  </si>
  <si>
    <t>CHE-321.321.095</t>
  </si>
  <si>
    <t>Gino Marketing GmbH</t>
  </si>
  <si>
    <t>Bahnhofplatz 2</t>
  </si>
  <si>
    <t>G477806</t>
  </si>
  <si>
    <t>Sonstiger Fachdetailhandel a. n. g. (in Verkaufsräumen)</t>
  </si>
  <si>
    <t>CHE-417.417.237</t>
  </si>
  <si>
    <t>Casalife Sunnehof AG</t>
  </si>
  <si>
    <t>Q873001</t>
  </si>
  <si>
    <t>Altersheime</t>
  </si>
  <si>
    <t>CHE-399.399.693</t>
  </si>
  <si>
    <t>CHE-110.110.536</t>
  </si>
  <si>
    <t>Kummer Laser</t>
  </si>
  <si>
    <t>Holzgasse 13</t>
  </si>
  <si>
    <t>CHE-245.245.391</t>
  </si>
  <si>
    <t>CHE-242.242.987</t>
  </si>
  <si>
    <t>R KALT GmbH</t>
  </si>
  <si>
    <t>Friedhofweg 5</t>
  </si>
  <si>
    <t>CHE-239.239.277</t>
  </si>
  <si>
    <t>Crosspiste MRT Niederbipp GmbH</t>
  </si>
  <si>
    <t>c/o Hans Ulrich Müller</t>
  </si>
  <si>
    <t>Güggelhof 1</t>
  </si>
  <si>
    <t>CHE-240.240.505</t>
  </si>
  <si>
    <t>Partl Beck GmbH</t>
  </si>
  <si>
    <t>Dorfstrasse 1</t>
  </si>
  <si>
    <t>CHE-239.239.803</t>
  </si>
  <si>
    <t>Zhong Yi Medizin AG</t>
  </si>
  <si>
    <t>Bernstrasse 4</t>
  </si>
  <si>
    <t>CHE-240.240.418</t>
  </si>
  <si>
    <t>Nomis AG</t>
  </si>
  <si>
    <t>Aengistrasse 19</t>
  </si>
  <si>
    <t>C309900</t>
  </si>
  <si>
    <t>Herstellung von sonstigen Fahrzeugen a. n. g.</t>
  </si>
  <si>
    <t>CHE-465.465.405</t>
  </si>
  <si>
    <t>Bergrestaurant Hinteregg M. Seiler</t>
  </si>
  <si>
    <t>Hinteregg 1</t>
  </si>
  <si>
    <t>I561002</t>
  </si>
  <si>
    <t>Restaurants mit Beherbergungsangebot</t>
  </si>
  <si>
    <t>CHE-103.103.816</t>
  </si>
  <si>
    <t>G453200</t>
  </si>
  <si>
    <t>Detailhandel mit Automobilteilen und -zubehör</t>
  </si>
  <si>
    <t>CHE-104.104.272</t>
  </si>
  <si>
    <t>Klossner Verwaltungen GmbH</t>
  </si>
  <si>
    <t>Jurastrasse 37</t>
  </si>
  <si>
    <t>CHE-233.233.130</t>
  </si>
  <si>
    <t>Tierlihus GmbH</t>
  </si>
  <si>
    <t>Jurastrasse 5</t>
  </si>
  <si>
    <t>CHE-232.232.586</t>
  </si>
  <si>
    <t>Bürki Gastro &amp; Dienstleistungs GmbH</t>
  </si>
  <si>
    <t>CHE-226.226.420</t>
  </si>
  <si>
    <t>gab 71 GmbH</t>
  </si>
  <si>
    <t>Beundenrain 56</t>
  </si>
  <si>
    <t>CHE-219.219.807</t>
  </si>
  <si>
    <t>Baumeler Trade</t>
  </si>
  <si>
    <t>CHE-216.216.873</t>
  </si>
  <si>
    <t>Limesone GmbH</t>
  </si>
  <si>
    <t>Chasseralstrasse 1-3</t>
  </si>
  <si>
    <t>G464906</t>
  </si>
  <si>
    <t>Grosshandel mit sonstigen Gebrauchs- und Verbrauchsgütern a. n. g.</t>
  </si>
  <si>
    <t>CHE-214.214.187</t>
  </si>
  <si>
    <t>Praxis Gruppe Niederbipp AG</t>
  </si>
  <si>
    <t>Wydenstrasse 19</t>
  </si>
  <si>
    <t>CHE-212.212.012</t>
  </si>
  <si>
    <t>Frilo AG</t>
  </si>
  <si>
    <t>C141900</t>
  </si>
  <si>
    <t>Herstellung von sonstiger Bekleidung und Bekleidungszubehör a. n. g.</t>
  </si>
  <si>
    <t>CHE-212.212.545</t>
  </si>
  <si>
    <t>Bitterli Bike GmbH</t>
  </si>
  <si>
    <t>Stockrain 2</t>
  </si>
  <si>
    <t>CHE-210.210.247</t>
  </si>
  <si>
    <t>Schuhagentur Flückiger GmbH</t>
  </si>
  <si>
    <t>Unterfeldstrasse 15B</t>
  </si>
  <si>
    <t>G464202</t>
  </si>
  <si>
    <t>Grosshandel mit Schuhen</t>
  </si>
  <si>
    <t>CHE-206.206.612</t>
  </si>
  <si>
    <t>Reinmann Gartengestaltung GmbH</t>
  </si>
  <si>
    <t>Birkenweg 1</t>
  </si>
  <si>
    <t>CHE-190.190.150</t>
  </si>
  <si>
    <t>XSEH GmbH</t>
  </si>
  <si>
    <t>CHE-467.467.846</t>
  </si>
  <si>
    <t>DK Gruppe GmbH</t>
  </si>
  <si>
    <t>Moosstrasse 3</t>
  </si>
  <si>
    <t>P855903</t>
  </si>
  <si>
    <t>Berufliche Erwachsenenbildung</t>
  </si>
  <si>
    <t>CHE-460.460.506</t>
  </si>
  <si>
    <t>Kleintierzentrum Huttwil AG</t>
  </si>
  <si>
    <t>Bernstrasse 9</t>
  </si>
  <si>
    <t>CHE-107.107.422</t>
  </si>
  <si>
    <t>Plüss Cheminée</t>
  </si>
  <si>
    <t>Bergstrasse 36</t>
  </si>
  <si>
    <t>CHE-103.103.854</t>
  </si>
  <si>
    <t>ABF AG</t>
  </si>
  <si>
    <t>c/o Beat Müller</t>
  </si>
  <si>
    <t>CHE-186.186.732</t>
  </si>
  <si>
    <t>Holzmech Schlup</t>
  </si>
  <si>
    <t>Hölzlisackerweg 2</t>
  </si>
  <si>
    <t>CHE-176.176.090</t>
  </si>
  <si>
    <t>Jäggi Landtechnik AG</t>
  </si>
  <si>
    <t>Hinterfeldweg 5</t>
  </si>
  <si>
    <t>CHE-175.175.457</t>
  </si>
  <si>
    <t>Edimuva GmbH</t>
  </si>
  <si>
    <t>Buchsweg 7</t>
  </si>
  <si>
    <t>CHE-326.326.917</t>
  </si>
  <si>
    <t>Stiftung Taunerhaus Roggwil</t>
  </si>
  <si>
    <t>c/o Kurt Schär und Liselotte Gasser Schär</t>
  </si>
  <si>
    <t>oberer Schmittenweg 25a</t>
  </si>
  <si>
    <t>CHE-171.171.869</t>
  </si>
  <si>
    <t>Silostrasse 7</t>
  </si>
  <si>
    <t>CHE-170.170.449</t>
  </si>
  <si>
    <t>Immondo AG - die Immobilienwelt</t>
  </si>
  <si>
    <t>Jurastrasse 17</t>
  </si>
  <si>
    <t>CHE-172.172.696</t>
  </si>
  <si>
    <t>Studer HST Recycling &amp; Autohandel</t>
  </si>
  <si>
    <t>Riedgasse 28</t>
  </si>
  <si>
    <t>Heimenhausen</t>
  </si>
  <si>
    <t>CHE-166.166.546</t>
  </si>
  <si>
    <t>Kunstschlosserei Grossenbacher AG</t>
  </si>
  <si>
    <t>Bernstrasse 67</t>
  </si>
  <si>
    <t>CHE-165.165.613</t>
  </si>
  <si>
    <t>Sun Valley Langenthal AG</t>
  </si>
  <si>
    <t>CHE-161.161.080</t>
  </si>
  <si>
    <t>Dance Center Langenthal AG</t>
  </si>
  <si>
    <t>Bleienbachstrasse 26</t>
  </si>
  <si>
    <t>P855200</t>
  </si>
  <si>
    <t>Kulturunterricht</t>
  </si>
  <si>
    <t>CHE-159.159.267</t>
  </si>
  <si>
    <t>Michèle Stauffer GmbH</t>
  </si>
  <si>
    <t>CHE-159.159.179</t>
  </si>
  <si>
    <t>Werthmüller Finanzplanung</t>
  </si>
  <si>
    <t>Byfangweg 16</t>
  </si>
  <si>
    <t>CHE-154.154.439</t>
  </si>
  <si>
    <t>cor 30 GmbH</t>
  </si>
  <si>
    <t>G464302</t>
  </si>
  <si>
    <t>Grosshandel mit Geräten der Unterhaltungselektronik</t>
  </si>
  <si>
    <t>CHE-151.151.424</t>
  </si>
  <si>
    <t>sunnäschür Wittwer</t>
  </si>
  <si>
    <t>Wangenstrasse 16</t>
  </si>
  <si>
    <t>CHE-115.115.551</t>
  </si>
  <si>
    <t>CHE-247.247.236</t>
  </si>
  <si>
    <t>Fat Mike Motors GmbH</t>
  </si>
  <si>
    <t>Mange 2</t>
  </si>
  <si>
    <t>CHE-148.148.865</t>
  </si>
  <si>
    <t>M. Widmer Holding GmbH</t>
  </si>
  <si>
    <t>CHE-110.110.617</t>
  </si>
  <si>
    <t>Franz und Rosemarie Eggenschwiler-Wiggli-Stiftung</t>
  </si>
  <si>
    <t>CHE-143.143.620</t>
  </si>
  <si>
    <t>Keramosa Group Batsilas &amp; Co.</t>
  </si>
  <si>
    <t>Obere Dürrmühlestrasse 21</t>
  </si>
  <si>
    <t>CHE-140.140.918</t>
  </si>
  <si>
    <t>HEHLEN at work</t>
  </si>
  <si>
    <t>Finkenweg 7</t>
  </si>
  <si>
    <t>CHE-139.139.744</t>
  </si>
  <si>
    <t>Ferienhaus LAUI AG</t>
  </si>
  <si>
    <t>c/o Thomas Aeberhard</t>
  </si>
  <si>
    <t>Wysshölzlistrasse 6</t>
  </si>
  <si>
    <t>CHE-135.135.327</t>
  </si>
  <si>
    <t>Gasthof Löwen Melchnau AG</t>
  </si>
  <si>
    <t>Dorfstrasse 79</t>
  </si>
  <si>
    <t>CHE-134.134.922</t>
  </si>
  <si>
    <t>R.J. Stirnimann TECHbusiness / TECHin&amp;formation</t>
  </si>
  <si>
    <t>Ausserfeldweg 11</t>
  </si>
  <si>
    <t>CHE-131.131.580</t>
  </si>
  <si>
    <t>Dr. med. Rosemarie Hubler Stiftung für heimatlose Tiere</t>
  </si>
  <si>
    <t>c/o Rosmarie Hubler</t>
  </si>
  <si>
    <t>Jurastrasse 114</t>
  </si>
  <si>
    <t>S960900</t>
  </si>
  <si>
    <t>Erbringung von sonstigen Dienstleistungen a. n. g.</t>
  </si>
  <si>
    <t>CHE-116.116.792</t>
  </si>
  <si>
    <t>TPS Holding AG</t>
  </si>
  <si>
    <t>CHE-116.116.651</t>
  </si>
  <si>
    <t>anywood AG</t>
  </si>
  <si>
    <t>Aarwangenstrasse 33</t>
  </si>
  <si>
    <t>CHE-116.116.211</t>
  </si>
  <si>
    <t>Samuel Kaufmann AG</t>
  </si>
  <si>
    <t>Homattstrasse 12</t>
  </si>
  <si>
    <t>CHE-116.116.818</t>
  </si>
  <si>
    <t>Michael Schneider GmbH</t>
  </si>
  <si>
    <t>Obergasse 11</t>
  </si>
  <si>
    <t>CHE-116.116.580</t>
  </si>
  <si>
    <t>Karibso Immo AG</t>
  </si>
  <si>
    <t>c/o Andreas Affentranger</t>
  </si>
  <si>
    <t>Aarwangenstrasse 32</t>
  </si>
  <si>
    <t>CHE-116.116.920</t>
  </si>
  <si>
    <t>FÖIERWERKEN MIT BÖRNI RAUCH, INH. R. PFAFFEN</t>
  </si>
  <si>
    <t>Hübeli 95</t>
  </si>
  <si>
    <t>CHE-116.116.228</t>
  </si>
  <si>
    <t>Blumen Uhlmann GmbH</t>
  </si>
  <si>
    <t>Oltenstrasse 23</t>
  </si>
  <si>
    <t>CHE-107.107.630</t>
  </si>
  <si>
    <t>W. Haudenschild Liegenschaften AG</t>
  </si>
  <si>
    <t>Käsereiweg 6</t>
  </si>
  <si>
    <t>CHE-116.116.161</t>
  </si>
  <si>
    <t>MD Global Consulting, Tamara D'Amico</t>
  </si>
  <si>
    <t>Zelgliweg 24</t>
  </si>
  <si>
    <t>CHE-111.111.952</t>
  </si>
  <si>
    <t>Uebersax + Partner Haustechnik AG</t>
  </si>
  <si>
    <t>Hegenrain 11</t>
  </si>
  <si>
    <t>Bettenhausen</t>
  </si>
  <si>
    <t>CHE-401.401.693</t>
  </si>
  <si>
    <t>C &amp; M Haller GmbH</t>
  </si>
  <si>
    <t>CHE-115.115.412</t>
  </si>
  <si>
    <t>Campargo AG</t>
  </si>
  <si>
    <t>c/o Urs Pfister</t>
  </si>
  <si>
    <t>Finkenweg 17</t>
  </si>
  <si>
    <t>CHE-115.115.972</t>
  </si>
  <si>
    <t>LIGHT-PRODUCTION ZAUGG GmbH</t>
  </si>
  <si>
    <t>CHE-115.115.642</t>
  </si>
  <si>
    <t>Brügger Mechanik AG</t>
  </si>
  <si>
    <t>Industriestrasse 37</t>
  </si>
  <si>
    <t>CHE-115.115.580</t>
  </si>
  <si>
    <t>Hillmount GmbH</t>
  </si>
  <si>
    <t>Waldhofstrasse 54</t>
  </si>
  <si>
    <t>CHE-115.115.746</t>
  </si>
  <si>
    <t>Ryf Werkzeugbau GmbH</t>
  </si>
  <si>
    <t>Zeughausstrasse 9</t>
  </si>
  <si>
    <t>CHE-115.115.090</t>
  </si>
  <si>
    <t>Truckerland GmbH</t>
  </si>
  <si>
    <t>C139901</t>
  </si>
  <si>
    <t>Stickerei</t>
  </si>
  <si>
    <t>CHE-115.115.420</t>
  </si>
  <si>
    <t>Friedli Metalltechnik AG</t>
  </si>
  <si>
    <t>Industriestrasse 33</t>
  </si>
  <si>
    <t>Langenthalstrasse 78</t>
  </si>
  <si>
    <t>Hölzlisackerweg 1</t>
  </si>
  <si>
    <t>CHE-109.109.293</t>
  </si>
  <si>
    <t>Nyfarm AG</t>
  </si>
  <si>
    <t>CHE-115.115.261</t>
  </si>
  <si>
    <t>SCHAAD - TEXTIL</t>
  </si>
  <si>
    <t>CHE-115.115.253</t>
  </si>
  <si>
    <t>Lanz Gartengestaltung GmbH</t>
  </si>
  <si>
    <t>Oltenstrasse 16</t>
  </si>
  <si>
    <t>CHE-115.115.715</t>
  </si>
  <si>
    <t>Indian Restaurant Singh</t>
  </si>
  <si>
    <t>Aarwangenstrasse 82</t>
  </si>
  <si>
    <t>CHE-115.115.349</t>
  </si>
  <si>
    <t>Adviaris Immobilien AG</t>
  </si>
  <si>
    <t>CHE-115.115.393</t>
  </si>
  <si>
    <t>Hortensis GmbH</t>
  </si>
  <si>
    <t>Bahnfeldstrasse 2</t>
  </si>
  <si>
    <t>CHE-115.115.341</t>
  </si>
  <si>
    <t>Push N Go Mertens</t>
  </si>
  <si>
    <t>Sägetweg 3</t>
  </si>
  <si>
    <t>M741002</t>
  </si>
  <si>
    <t>Grafikdesign und Visuelle Kommunikation</t>
  </si>
  <si>
    <t>CHE-115.115.943</t>
  </si>
  <si>
    <t>Kämpfer Group AG</t>
  </si>
  <si>
    <t>CHE-114.114.420</t>
  </si>
  <si>
    <t>Blumenwerkstatt Anna Sommer</t>
  </si>
  <si>
    <t>Dorfstrasse 31</t>
  </si>
  <si>
    <t>CHE-112.112.020</t>
  </si>
  <si>
    <t>PREIS KÖNIG AG</t>
  </si>
  <si>
    <t>c/o Banag Immobilien AG</t>
  </si>
  <si>
    <t>CHE-109.109.970</t>
  </si>
  <si>
    <t>Walker Gastro AG</t>
  </si>
  <si>
    <t>Wangenstrasse 55</t>
  </si>
  <si>
    <t>Marktgasse 34b</t>
  </si>
  <si>
    <t>Kilchweg 5</t>
  </si>
  <si>
    <t>CHE-143.143.616</t>
  </si>
  <si>
    <t>Dynabyte GmbH</t>
  </si>
  <si>
    <t>J620900</t>
  </si>
  <si>
    <t>Erbringung von sonstigen Dienstleistungen der Informationstechnologie</t>
  </si>
  <si>
    <t>CHE-260.260.059</t>
  </si>
  <si>
    <t>Malerei Vangelista</t>
  </si>
  <si>
    <t>Freilandweg 14</t>
  </si>
  <si>
    <t>Eisenbahnstrasse 7</t>
  </si>
  <si>
    <t>Busswil b. Melchnau</t>
  </si>
  <si>
    <t>Q889902</t>
  </si>
  <si>
    <t>Sonstiges Sozialwesen a. n. g.</t>
  </si>
  <si>
    <t>CHE-376.376.737</t>
  </si>
  <si>
    <t>SR Erotec Schweiz GmbH</t>
  </si>
  <si>
    <t>Hubelweg 1</t>
  </si>
  <si>
    <t>CHE-144.144.349</t>
  </si>
  <si>
    <t>Lanz Holzbau AG</t>
  </si>
  <si>
    <t>Ahornweg 16</t>
  </si>
  <si>
    <t>CHE-251.251.015</t>
  </si>
  <si>
    <t>Alpenplott Viola Borer</t>
  </si>
  <si>
    <t>Buchlistrasse 12</t>
  </si>
  <si>
    <t>CHE-330.330.329</t>
  </si>
  <si>
    <t>Green Gold Corporation AG</t>
  </si>
  <si>
    <t>Gaswerkstrasse 33</t>
  </si>
  <si>
    <t>CHE-115.115.846</t>
  </si>
  <si>
    <t>SWISSDACH AG</t>
  </si>
  <si>
    <t>Sunnhalde 19</t>
  </si>
  <si>
    <t>CHE-115.115.236</t>
  </si>
  <si>
    <t>Beundenstrasse 6</t>
  </si>
  <si>
    <t>CHE-115.115.842</t>
  </si>
  <si>
    <t>Creahorse GmbH</t>
  </si>
  <si>
    <t>c/o René und Sylvia Affentranger</t>
  </si>
  <si>
    <t>CHE-460.460.847</t>
  </si>
  <si>
    <t>BB Tinyhouse GmbH</t>
  </si>
  <si>
    <t>Bielstrasse 11</t>
  </si>
  <si>
    <t>CHE-334.334.040</t>
  </si>
  <si>
    <t>PB Immobilien AG</t>
  </si>
  <si>
    <t>CHE-114.114.544</t>
  </si>
  <si>
    <t>Loosli Getränke AG</t>
  </si>
  <si>
    <t>Murgenthalstrasse 21</t>
  </si>
  <si>
    <t>CHE-114.114.541</t>
  </si>
  <si>
    <t>Lüdi Service-Technik GmbH</t>
  </si>
  <si>
    <t>Rengershäusern 164</t>
  </si>
  <si>
    <t>CHE-114.114.671</t>
  </si>
  <si>
    <t>flückiger OPTIK + hörcenter GmbH Herzogenbuchsee</t>
  </si>
  <si>
    <t>Bernstrasse 7</t>
  </si>
  <si>
    <t>CHE-114.114.760</t>
  </si>
  <si>
    <t>DI Projekt AG</t>
  </si>
  <si>
    <t>c/o MDC Max Daetwyler AG</t>
  </si>
  <si>
    <t>CHE-114.114.313</t>
  </si>
  <si>
    <t>Cadi Gastro GmbH</t>
  </si>
  <si>
    <t>Spitalstrasse 2a</t>
  </si>
  <si>
    <t>CHE-114.114.986</t>
  </si>
  <si>
    <t>Print Finishing Solutions &amp; Services GmbH</t>
  </si>
  <si>
    <t>CHE-401.401.313</t>
  </si>
  <si>
    <t>Kurt Schär Projekt Management</t>
  </si>
  <si>
    <t>CHE-223.223.001</t>
  </si>
  <si>
    <t>PFK GmbH</t>
  </si>
  <si>
    <t>A016100</t>
  </si>
  <si>
    <t>Erbringung von landwirtschaftlichen Dienstleistungen für den Pflanzenbau</t>
  </si>
  <si>
    <t>CHE-156.156.035</t>
  </si>
  <si>
    <t>P855300</t>
  </si>
  <si>
    <t>Fahr- und Flugschulen</t>
  </si>
  <si>
    <t>CHE-114.114.566</t>
  </si>
  <si>
    <t>OPTIMAX Consulting Burkhardt</t>
  </si>
  <si>
    <t>Oltenstrasse 10 e</t>
  </si>
  <si>
    <t>CHE-114.114.050</t>
  </si>
  <si>
    <t>Oberdorf 64</t>
  </si>
  <si>
    <t>CHE-114.114.817</t>
  </si>
  <si>
    <t>VIPsana GmbH</t>
  </si>
  <si>
    <t>CHE-114.114.557</t>
  </si>
  <si>
    <t>Lanz-Anliker-Stiftung</t>
  </si>
  <si>
    <t>c/o Lanz-Anliker AG</t>
  </si>
  <si>
    <t>Q889901</t>
  </si>
  <si>
    <t>Organisationen der Wohlfahrtspflege</t>
  </si>
  <si>
    <t>CHE-114.114.095</t>
  </si>
  <si>
    <t>GEOEngineering GmbH</t>
  </si>
  <si>
    <t>Moosackerweg 24</t>
  </si>
  <si>
    <t>CHE-114.114.595</t>
  </si>
  <si>
    <t>Kinematik &amp; Dynamik GmbH</t>
  </si>
  <si>
    <t>Aeschistrasse 78</t>
  </si>
  <si>
    <t>CHE-409.409.864</t>
  </si>
  <si>
    <t>K651204</t>
  </si>
  <si>
    <t>Sonstige Versicherungen (ohne Sozialversicherung) a. n. g.</t>
  </si>
  <si>
    <t>CHE-383.383.769</t>
  </si>
  <si>
    <t>MBA-Bauprofis GmbH</t>
  </si>
  <si>
    <t>Bernstrasse 51</t>
  </si>
  <si>
    <t>CHE-101.101.854</t>
  </si>
  <si>
    <t>Swipro AG</t>
  </si>
  <si>
    <t>Haldenweg 14</t>
  </si>
  <si>
    <t>CHE-114.114.363</t>
  </si>
  <si>
    <t>Wüthrich Haustechnik AG</t>
  </si>
  <si>
    <t>Hauptstrasse 19</t>
  </si>
  <si>
    <t>F432201</t>
  </si>
  <si>
    <t>Sanitärinstallation</t>
  </si>
  <si>
    <t>CHE-114.114.583</t>
  </si>
  <si>
    <t>Kleintierpraxis Gelbe Pfote AG</t>
  </si>
  <si>
    <t>CHE-114.114.929</t>
  </si>
  <si>
    <t>ecorep straumann</t>
  </si>
  <si>
    <t>Allmend 31</t>
  </si>
  <si>
    <t>S952900</t>
  </si>
  <si>
    <t>Reparatur von sonstigen Gebrauchsgütern</t>
  </si>
  <si>
    <t>CHE-114.114.437</t>
  </si>
  <si>
    <t>Druckknopfgalerie Zech Saurer &amp; Co.</t>
  </si>
  <si>
    <t>Dorfstrasse 81</t>
  </si>
  <si>
    <t>CHE-114.114.964</t>
  </si>
  <si>
    <t>medimassage GmbH</t>
  </si>
  <si>
    <t>Oberstrasse 14</t>
  </si>
  <si>
    <t>CHE-114.114.958</t>
  </si>
  <si>
    <t>masta-trade gmbh</t>
  </si>
  <si>
    <t>c/o Ralph Schillig</t>
  </si>
  <si>
    <t>In der Gasse 9</t>
  </si>
  <si>
    <t>CHE-114.114.113</t>
  </si>
  <si>
    <t>Kaminfegergeschäft Lanz AG</t>
  </si>
  <si>
    <t>Lagerweg 10 A</t>
  </si>
  <si>
    <t>N812201</t>
  </si>
  <si>
    <t>Kaminfeger</t>
  </si>
  <si>
    <t>CHE-114.114.076</t>
  </si>
  <si>
    <t>Markus Keusen, Platten- und Maurerarbeiten</t>
  </si>
  <si>
    <t>Blumenstrasse 32</t>
  </si>
  <si>
    <t>CHE-114.114.935</t>
  </si>
  <si>
    <t>NED-TECH AG</t>
  </si>
  <si>
    <t>Unterholz 26</t>
  </si>
  <si>
    <t>M712000</t>
  </si>
  <si>
    <t>Technische, physikalische und chemische Untersuchung</t>
  </si>
  <si>
    <t>CHE-175.175.141</t>
  </si>
  <si>
    <t>Reschtu GmbH</t>
  </si>
  <si>
    <t>Gartenstrasse 12</t>
  </si>
  <si>
    <t>CHE-113.113.219</t>
  </si>
  <si>
    <t>Löwen savoir vivre AG</t>
  </si>
  <si>
    <t>Solothurnstrasse 10</t>
  </si>
  <si>
    <t>M701001</t>
  </si>
  <si>
    <t>Firmensitzaktivitäten von Finanzgesellschaften</t>
  </si>
  <si>
    <t>CHE-113.113.026</t>
  </si>
  <si>
    <t>RG Kleintrasport Kurier + Expressdienste Greub</t>
  </si>
  <si>
    <t>Bern-Zürichstrasse 40</t>
  </si>
  <si>
    <t>CHE-113.113.623</t>
  </si>
  <si>
    <t>BauDesign Partner GmbH</t>
  </si>
  <si>
    <t>c/o Martin Wisler</t>
  </si>
  <si>
    <t>Brauihof 28A</t>
  </si>
  <si>
    <t>c/o Thomi + Co AG</t>
  </si>
  <si>
    <t>Rütschelenstrasse 1</t>
  </si>
  <si>
    <t>CHE-113.113.434</t>
  </si>
  <si>
    <t>burkhardt ht gmbh</t>
  </si>
  <si>
    <t>Brückenstrasse 4 a</t>
  </si>
  <si>
    <t>CHE-113.113.416</t>
  </si>
  <si>
    <t>Garage Gabi GmbH</t>
  </si>
  <si>
    <t>Hintergasse 26</t>
  </si>
  <si>
    <t>CHE-113.113.492</t>
  </si>
  <si>
    <t>Schär Landtechnik AG</t>
  </si>
  <si>
    <t>CHE-113.113.843</t>
  </si>
  <si>
    <t>Swisspraxis GmbH</t>
  </si>
  <si>
    <t>c/o Alexander Johler</t>
  </si>
  <si>
    <t>Feldstrasse 32</t>
  </si>
  <si>
    <t>CHE-113.113.837</t>
  </si>
  <si>
    <t>sibo mechanik GmbH</t>
  </si>
  <si>
    <t>CHE-113.113.814</t>
  </si>
  <si>
    <t>Dreatec GmbH</t>
  </si>
  <si>
    <t>Buchsistrasse 24</t>
  </si>
  <si>
    <t>CHE-113.113.793</t>
  </si>
  <si>
    <t>China Management &amp; Culture GmbH</t>
  </si>
  <si>
    <t>CHE-113.113.133</t>
  </si>
  <si>
    <t>HERAUSGEBER.CH DANIEL GABERELL</t>
  </si>
  <si>
    <t>Oschwandstrasse 18</t>
  </si>
  <si>
    <t>J581100</t>
  </si>
  <si>
    <t>Verlegen von Büchern</t>
  </si>
  <si>
    <t>CHE-113.113.405</t>
  </si>
  <si>
    <t>Zahn + Partner</t>
  </si>
  <si>
    <t>CHE-103.103.406</t>
  </si>
  <si>
    <t>Marcel Hasler Electronics AG</t>
  </si>
  <si>
    <t>Lindenstrasse 26</t>
  </si>
  <si>
    <t>CHE-264.264.471</t>
  </si>
  <si>
    <t>Immobieri AG</t>
  </si>
  <si>
    <t>CHE-106.106.345</t>
  </si>
  <si>
    <t>Martin Grütter Transporte</t>
  </si>
  <si>
    <t>CHE-347.347.446</t>
  </si>
  <si>
    <t>OP-HYGIENE IP GmbH</t>
  </si>
  <si>
    <t>M691002</t>
  </si>
  <si>
    <t>Patentanwaltsbüros, Patentverwertung</t>
  </si>
  <si>
    <t>CHE-114.114.754</t>
  </si>
  <si>
    <t>Grünenberg Immobilien Daniel Hess</t>
  </si>
  <si>
    <t>Guger 20</t>
  </si>
  <si>
    <t>CHE-112.112.761</t>
  </si>
  <si>
    <t>Stiftung Trummlehus</t>
  </si>
  <si>
    <t>Aarwangenstrasse 24</t>
  </si>
  <si>
    <t>R910200</t>
  </si>
  <si>
    <t>Museen</t>
  </si>
  <si>
    <t>CHE-105.105.685</t>
  </si>
  <si>
    <t>Hegel AG</t>
  </si>
  <si>
    <t>Lotzwilstrasse 23a</t>
  </si>
  <si>
    <t>Girsberger Beteiligungs AG</t>
  </si>
  <si>
    <t>CHE-499.499.934</t>
  </si>
  <si>
    <t>Foreign Service Network KMG</t>
  </si>
  <si>
    <t>CHE-111.111.138</t>
  </si>
  <si>
    <t>Scooterama GmbH</t>
  </si>
  <si>
    <t>Zürichstrasse 53</t>
  </si>
  <si>
    <t>Taubenrainweg 7</t>
  </si>
  <si>
    <t>CHE-113.113.950</t>
  </si>
  <si>
    <t>Marktgasse 54</t>
  </si>
  <si>
    <t>CHE-113.113.090</t>
  </si>
  <si>
    <t>amptec GmbH</t>
  </si>
  <si>
    <t>Feldstrasse 37</t>
  </si>
  <si>
    <t>CHE-113.113.928</t>
  </si>
  <si>
    <t>Städtli Food GmbH</t>
  </si>
  <si>
    <t>Städtli 5</t>
  </si>
  <si>
    <t>Schmidigen-Mühleweg</t>
  </si>
  <si>
    <t>CHE-113.113.461</t>
  </si>
  <si>
    <t>F. CELLI GmbH</t>
  </si>
  <si>
    <t>Hofstrasse 23</t>
  </si>
  <si>
    <t>CHE-113.113.610</t>
  </si>
  <si>
    <t>ManDrey GmbH</t>
  </si>
  <si>
    <t>Spiegelberg 2</t>
  </si>
  <si>
    <t>Allenspach GreenTech AG</t>
  </si>
  <si>
    <t>Wittifeldstrasse 4</t>
  </si>
  <si>
    <t>CHE-113.113.925</t>
  </si>
  <si>
    <t>Strahm Haustechnik GmbH</t>
  </si>
  <si>
    <t>Steingasse 19</t>
  </si>
  <si>
    <t>CHE-113.113.247</t>
  </si>
  <si>
    <t>Yin Yang Medi AG</t>
  </si>
  <si>
    <t>St. Urbanstrasse 3</t>
  </si>
  <si>
    <t>CHE-113.113.230</t>
  </si>
  <si>
    <t>Presento AG</t>
  </si>
  <si>
    <t>c/o Ulrich Marbot</t>
  </si>
  <si>
    <t>Brüschrain 42</t>
  </si>
  <si>
    <t>CHE-113.113.435</t>
  </si>
  <si>
    <t>BB Bitumen GmbH</t>
  </si>
  <si>
    <t>CHE-113.113.315</t>
  </si>
  <si>
    <t>Biodiversia GmbH</t>
  </si>
  <si>
    <t>Jurastrasse 41</t>
  </si>
  <si>
    <t>N829900</t>
  </si>
  <si>
    <t>Erbringung sonstiger wirtschaftlicher Dienstleistungen für Unternehmen und Privatpersonen a. n. g.</t>
  </si>
  <si>
    <t>CHE-113.113.974</t>
  </si>
  <si>
    <t>Wirulent Immobilien AG</t>
  </si>
  <si>
    <t>G477103</t>
  </si>
  <si>
    <t>Detailhandel mit Säuglings- und Kinderbekleidung</t>
  </si>
  <si>
    <t>CHE-113.113.479</t>
  </si>
  <si>
    <t>Schneider Allrounder GmbH</t>
  </si>
  <si>
    <t>c/o Sergio Natalino Cafagni</t>
  </si>
  <si>
    <t>Lagerweg 14</t>
  </si>
  <si>
    <t>CHE-112.112.656</t>
  </si>
  <si>
    <t>BHA Lift GmbH</t>
  </si>
  <si>
    <t>c/o Urs Bürgin</t>
  </si>
  <si>
    <t>Einschlag 90A</t>
  </si>
  <si>
    <t>CHE-112.112.791</t>
  </si>
  <si>
    <t>Biopower Schürch AG</t>
  </si>
  <si>
    <t>Steingasse 28</t>
  </si>
  <si>
    <t>CHE-112.112.244</t>
  </si>
  <si>
    <t>holz-werk Schreinerei, Janosch Fankhauser</t>
  </si>
  <si>
    <t>Gaswerkstrasse 70</t>
  </si>
  <si>
    <t>CHE-112.112.802</t>
  </si>
  <si>
    <t>CHE-112.112.195</t>
  </si>
  <si>
    <t>Elektro Schärer</t>
  </si>
  <si>
    <t>Höhenweg 13</t>
  </si>
  <si>
    <t>CHE-112.112.377</t>
  </si>
  <si>
    <t>Galloway - Saloon, Trösch + Schmenger</t>
  </si>
  <si>
    <t>Forst 109 b</t>
  </si>
  <si>
    <t>C105103</t>
  </si>
  <si>
    <t>Sonstige Milchverarbeitung</t>
  </si>
  <si>
    <t>CHE-112.112.806</t>
  </si>
  <si>
    <t>Heiniger Christian</t>
  </si>
  <si>
    <t>Bichsel 140</t>
  </si>
  <si>
    <t>CHE-112.112.135</t>
  </si>
  <si>
    <t>Markus Hasler GmbH</t>
  </si>
  <si>
    <t>Bachstrasse 5</t>
  </si>
  <si>
    <t>CHE-112.112.988</t>
  </si>
  <si>
    <t>La Perla Rosangela Lagona</t>
  </si>
  <si>
    <t>Obere Dürrmühlestrasse 2</t>
  </si>
  <si>
    <t>CHE-112.112.699</t>
  </si>
  <si>
    <t>SMHPA Simon Morgenthaler Holz, Planung, Ausführung</t>
  </si>
  <si>
    <t>Haldimoosstrasse 28</t>
  </si>
  <si>
    <t>CHE-265.265.637</t>
  </si>
  <si>
    <t>Elektro Emme GmbH</t>
  </si>
  <si>
    <t>Städtli 8</t>
  </si>
  <si>
    <t>CHE-112.112.733</t>
  </si>
  <si>
    <t>Juerg Siegrist AG</t>
  </si>
  <si>
    <t>Meisenweg 22</t>
  </si>
  <si>
    <t>CHE-112.112.727</t>
  </si>
  <si>
    <t>Stiftung Burgergut Heimenhausen</t>
  </si>
  <si>
    <t>c/o Gemeindeverwaltung Heimenhausen</t>
  </si>
  <si>
    <t>Dorfstrasse 20</t>
  </si>
  <si>
    <t>A021000</t>
  </si>
  <si>
    <t>Forstwirtschaft</t>
  </si>
  <si>
    <t>CHE-112.112.258</t>
  </si>
  <si>
    <t>Hofmattstrasse 22</t>
  </si>
  <si>
    <t>CHE-112.112.094</t>
  </si>
  <si>
    <t>Design Alexa Blum GmbH</t>
  </si>
  <si>
    <t>Murgenthalstrasse 3</t>
  </si>
  <si>
    <t>CHE-112.112.526</t>
  </si>
  <si>
    <t>AL-Treuhand GmbH</t>
  </si>
  <si>
    <t>Asian's food market GmbH</t>
  </si>
  <si>
    <t>Herzogstrasse 2</t>
  </si>
  <si>
    <t>CHE-112.112.472</t>
  </si>
  <si>
    <t>Fritz Burkhalter-Stiftung</t>
  </si>
  <si>
    <t>Jurastrasse 22</t>
  </si>
  <si>
    <t>CHE-112.112.668</t>
  </si>
  <si>
    <t>Garage Useini GmbH</t>
  </si>
  <si>
    <t>Bernstrasse 15</t>
  </si>
  <si>
    <t>CHE-112.112.444</t>
  </si>
  <si>
    <t>JB Stahl- Metallbau GmbH</t>
  </si>
  <si>
    <t>Baselstrasse 32d</t>
  </si>
  <si>
    <t>CHE-112.112.931</t>
  </si>
  <si>
    <t>Rayan Immo GmbH</t>
  </si>
  <si>
    <t>Leenrütimattweg 5</t>
  </si>
  <si>
    <t>Wolfisberg</t>
  </si>
  <si>
    <t>CHE-112.112.492</t>
  </si>
  <si>
    <t>werkflow GmbH</t>
  </si>
  <si>
    <t>Ribeliweg 3</t>
  </si>
  <si>
    <t>CHE-112.112.618</t>
  </si>
  <si>
    <t>Urs Zeugin, der Handwerker</t>
  </si>
  <si>
    <t>Mättenbergstrasse 6</t>
  </si>
  <si>
    <t>CHE-112.112.726</t>
  </si>
  <si>
    <t>Gerber Steuer- + KMU-Beratung GmbH</t>
  </si>
  <si>
    <t>Alte Bernstrasse 6</t>
  </si>
  <si>
    <t>CHE-112.112.548</t>
  </si>
  <si>
    <t>AC-FLEX GmbH</t>
  </si>
  <si>
    <t>Aeschistrasse 9</t>
  </si>
  <si>
    <t>CHE-112.112.466</t>
  </si>
  <si>
    <t>Kosmetik Mon Bijou Barbara Brechbühl</t>
  </si>
  <si>
    <t>Bernstrasse 53</t>
  </si>
  <si>
    <t>Wydenstrasse 11</t>
  </si>
  <si>
    <t>CHE-112.112.014</t>
  </si>
  <si>
    <t>Nyffeler Stefan</t>
  </si>
  <si>
    <t>CHE-112.112.975</t>
  </si>
  <si>
    <t>Govinda Veda-Kultur GmbH</t>
  </si>
  <si>
    <t>Dorfgasse 43</t>
  </si>
  <si>
    <t>CHE-112.112.736</t>
  </si>
  <si>
    <t>IMS Immobilien Multiservice AG</t>
  </si>
  <si>
    <t>Mühleweg 11</t>
  </si>
  <si>
    <t>CHE-112.112.459</t>
  </si>
  <si>
    <t>Hohl Holzbau</t>
  </si>
  <si>
    <t>Oltenstrasse 7</t>
  </si>
  <si>
    <t>CHE-111.111.158</t>
  </si>
  <si>
    <t>Faltinek AG</t>
  </si>
  <si>
    <t>Reutergässli 115</t>
  </si>
  <si>
    <t>CHE-111.111.401</t>
  </si>
  <si>
    <t>Hunziker &amp; Partner Versicherungen GmbH</t>
  </si>
  <si>
    <t>CHE-111.111.583</t>
  </si>
  <si>
    <t>Dorfstrasse 5</t>
  </si>
  <si>
    <t>CHE-111.111.476</t>
  </si>
  <si>
    <t>Nordiq GmbH</t>
  </si>
  <si>
    <t>Güterstrasse 6</t>
  </si>
  <si>
    <t>CHE-111.111.994</t>
  </si>
  <si>
    <t>Scheidegger AG Schreinerei-Holzbau</t>
  </si>
  <si>
    <t>Wil 23</t>
  </si>
  <si>
    <t>CHE-111.111.081</t>
  </si>
  <si>
    <t>H. Marti Optik AG</t>
  </si>
  <si>
    <t>Marktgasse 32</t>
  </si>
  <si>
    <t>CHE-111.111.282</t>
  </si>
  <si>
    <t>AT-Automobile Schüpbach KmG</t>
  </si>
  <si>
    <t>c/o Gustoil Schüpbach</t>
  </si>
  <si>
    <t>Clavatax Steuer-Advokatur AG</t>
  </si>
  <si>
    <t>Lotzwilstrasse 26</t>
  </si>
  <si>
    <t>CHE-110.110.217</t>
  </si>
  <si>
    <t>Camp Athletics GmbH</t>
  </si>
  <si>
    <t>CHE-110.110.461</t>
  </si>
  <si>
    <t>Projekt- und Qualitätsmanagement Brunner</t>
  </si>
  <si>
    <t>Breitholzweg 25</t>
  </si>
  <si>
    <t>CHE-110.110.196</t>
  </si>
  <si>
    <t>Personalfürsorgestiftung der Erbo Gruppe</t>
  </si>
  <si>
    <t>CHE-110.110.105</t>
  </si>
  <si>
    <t>DEGI TOYS D. Matarazzo</t>
  </si>
  <si>
    <t>Bahnhofstrasse 60</t>
  </si>
  <si>
    <t>G476500</t>
  </si>
  <si>
    <t>Detailhandel mit Spielwaren</t>
  </si>
  <si>
    <t>CHE-110.110.038</t>
  </si>
  <si>
    <t>Stiftung Räberstöckli</t>
  </si>
  <si>
    <t>Dorfstrasse 15</t>
  </si>
  <si>
    <t>CHE-110.110.974</t>
  </si>
  <si>
    <t>Verband schweizerischer Kartoffelhandelsfirmen</t>
  </si>
  <si>
    <t>CHE-110.110.717</t>
  </si>
  <si>
    <t>Print-Gate GmbH</t>
  </si>
  <si>
    <t>Bernstrasse 54</t>
  </si>
  <si>
    <t>CHE-110.110.372</t>
  </si>
  <si>
    <t>Altersresidenz zur Wiese AG</t>
  </si>
  <si>
    <t>Bernstrasse 21</t>
  </si>
  <si>
    <t>CHE-110.110.623</t>
  </si>
  <si>
    <t>Wursthüsli Egger GmbH</t>
  </si>
  <si>
    <t>Dorfstrasse 6</t>
  </si>
  <si>
    <t>G463200</t>
  </si>
  <si>
    <t>Grosshandel mit Fleisch und Fleischwaren</t>
  </si>
  <si>
    <t>CHE-110.110.782</t>
  </si>
  <si>
    <t>is systems GmbH</t>
  </si>
  <si>
    <t>Rotfarbgasse 7</t>
  </si>
  <si>
    <t>CHE-110.110.940</t>
  </si>
  <si>
    <t>VTEC Electronics GmbH</t>
  </si>
  <si>
    <t>Schenkstrasse 1</t>
  </si>
  <si>
    <t>CHE-110.110.222</t>
  </si>
  <si>
    <t>Schumacher Sport AG</t>
  </si>
  <si>
    <t>CHE-110.110.021</t>
  </si>
  <si>
    <t>Garage Martin Meier AG</t>
  </si>
  <si>
    <t>Marktgasse 4</t>
  </si>
  <si>
    <t>CHE-110.110.964</t>
  </si>
  <si>
    <t>Müntener-Swimming-Pool-Center AG</t>
  </si>
  <si>
    <t>Buchsistrasse 20</t>
  </si>
  <si>
    <t>CHE-110.110.958</t>
  </si>
  <si>
    <t>H.U. Ingold Forstbaumschulen AG</t>
  </si>
  <si>
    <t>Haldimoos 15</t>
  </si>
  <si>
    <t>CHE-110.110.789</t>
  </si>
  <si>
    <t>Stiftung Wohnheim Öpfuböimli</t>
  </si>
  <si>
    <t>Nyffel 19</t>
  </si>
  <si>
    <t>CHE-110.110.032</t>
  </si>
  <si>
    <t>SN GmbH</t>
  </si>
  <si>
    <t>CHE-110.110.800</t>
  </si>
  <si>
    <t>No Worries Travel GmbH</t>
  </si>
  <si>
    <t>CHE-110.110.792</t>
  </si>
  <si>
    <t>i-Bernet AG</t>
  </si>
  <si>
    <t>CHE-110.110.697</t>
  </si>
  <si>
    <t>Frei Architektur und Baumanagement GmbH</t>
  </si>
  <si>
    <t>Solothurnstrasse 51</t>
  </si>
  <si>
    <t>CHE-109.109.867</t>
  </si>
  <si>
    <t>HS-Versand Schürch</t>
  </si>
  <si>
    <t>Jurastrasse 52</t>
  </si>
  <si>
    <t>CHE-109.109.643</t>
  </si>
  <si>
    <t>Metzgerei Appenzeller</t>
  </si>
  <si>
    <t>G472200</t>
  </si>
  <si>
    <t>Detailhandel mit Fleisch und Fleischwaren</t>
  </si>
  <si>
    <t>CHE-109.109.608</t>
  </si>
  <si>
    <t>Minato-Dienstleistungen GmbH</t>
  </si>
  <si>
    <t>Aarwangenstrasse 19</t>
  </si>
  <si>
    <t>CHE-109.109.826</t>
  </si>
  <si>
    <t>Pensionskasse des Spitals Region Oberaargau (PK SRO)</t>
  </si>
  <si>
    <t>St. Urbanstrasse 67</t>
  </si>
  <si>
    <t>CHE-109.109.817</t>
  </si>
  <si>
    <t>Andreas Kohler</t>
  </si>
  <si>
    <t>Zürichstrasse 16</t>
  </si>
  <si>
    <t>CHE-109.109.047</t>
  </si>
  <si>
    <t>Personalvorsorgestiftung der Schneeberger-Gruppe</t>
  </si>
  <si>
    <t>CHE-109.109.057</t>
  </si>
  <si>
    <t>Ristorante Pizzeria Pinocchio tricolore GmbH</t>
  </si>
  <si>
    <t>Spitalgasse 18</t>
  </si>
  <si>
    <t>Mittelstrasse 38</t>
  </si>
  <si>
    <t>CHE-109.109.278</t>
  </si>
  <si>
    <t>SIS SIKH - Stiftung (Schweiz)</t>
  </si>
  <si>
    <t>S949101</t>
  </si>
  <si>
    <t>Kirchgemeinden und religiöse Vereinigungen</t>
  </si>
  <si>
    <t>CHE-109.109.363</t>
  </si>
  <si>
    <t>Talstrasse 35</t>
  </si>
  <si>
    <t>CHE-109.109.783</t>
  </si>
  <si>
    <t>SELA Holding AG</t>
  </si>
  <si>
    <t>c/o Frau Denise Kuert-Hunziker</t>
  </si>
  <si>
    <t>Melchnaustrasse 38</t>
  </si>
  <si>
    <t>CHE-109.109.422</t>
  </si>
  <si>
    <t>Gasthof zum Wilden Mann AG</t>
  </si>
  <si>
    <t>Langenthalstrasse 3</t>
  </si>
  <si>
    <t>CHE-109.109.173</t>
  </si>
  <si>
    <t>Marti Metzgerei AG</t>
  </si>
  <si>
    <t>Unterstrasse 28</t>
  </si>
  <si>
    <t>CHE-109.109.895</t>
  </si>
  <si>
    <t>Teamatec GmbH</t>
  </si>
  <si>
    <t>Dorfgasse 76</t>
  </si>
  <si>
    <t>CHE-109.109.162</t>
  </si>
  <si>
    <t>Yildirim GmbH</t>
  </si>
  <si>
    <t>Spitalgasse 1</t>
  </si>
  <si>
    <t>CHE-109.109.206</t>
  </si>
  <si>
    <t>Martin Siegenthaler Dipl. Architekt ETH/SIA</t>
  </si>
  <si>
    <t>Lagerstrasse 10</t>
  </si>
  <si>
    <t>CHE-109.109.777</t>
  </si>
  <si>
    <t>Garage Greub AG</t>
  </si>
  <si>
    <t>Kapellenweg 2/4</t>
  </si>
  <si>
    <t>Mumenthalstrasse 1</t>
  </si>
  <si>
    <t>CHE-109.109.718</t>
  </si>
  <si>
    <t>Hallauer Schlosserei und Metallbau GmbH</t>
  </si>
  <si>
    <t>Linden 32</t>
  </si>
  <si>
    <t>CHE-109.109.472</t>
  </si>
  <si>
    <t>Uni-Cargo AG</t>
  </si>
  <si>
    <t>Schweinbrunnen 45</t>
  </si>
  <si>
    <t>CHE-109.109.617</t>
  </si>
  <si>
    <t>GARTENWERKE GmbH</t>
  </si>
  <si>
    <t>Eigen 23</t>
  </si>
  <si>
    <t>CHE-109.109.375</t>
  </si>
  <si>
    <t>Coiffure Freudiger GmbH</t>
  </si>
  <si>
    <t>Untere Duerrmuehlestrasse 18</t>
  </si>
  <si>
    <t>CHE-109.109.564</t>
  </si>
  <si>
    <t>Aarhouse AG</t>
  </si>
  <si>
    <t>Laendtestrasse 3</t>
  </si>
  <si>
    <t>CHE-109.109.210</t>
  </si>
  <si>
    <t>Meister Architektur + Innengestaltung AG</t>
  </si>
  <si>
    <t>Zürichstrasse 19</t>
  </si>
  <si>
    <t>Erich Lüthi Gartenbau</t>
  </si>
  <si>
    <t>Bruegglisackerweg 20</t>
  </si>
  <si>
    <t>CHE-108.108.913</t>
  </si>
  <si>
    <t>Neurocoaching GmbH</t>
  </si>
  <si>
    <t>Haldenstrasse 15</t>
  </si>
  <si>
    <t>Stocklin Baumschulen AG</t>
  </si>
  <si>
    <t>Aarwangenstrasse 1</t>
  </si>
  <si>
    <t>CHE-108.108.353</t>
  </si>
  <si>
    <t>LVC, Leu Beratungen</t>
  </si>
  <si>
    <t>CHE-114.114.255</t>
  </si>
  <si>
    <t>wellatwork.ch GmbH</t>
  </si>
  <si>
    <t>CHE-108.108.351</t>
  </si>
  <si>
    <t>Aget Kommunikation AG</t>
  </si>
  <si>
    <t>CHE-108.108.835</t>
  </si>
  <si>
    <t>Unternehmungs-Beratung Alfred M. Lehmann</t>
  </si>
  <si>
    <t>Schiltackerstrasse 16</t>
  </si>
  <si>
    <t>CHE-108.108.056</t>
  </si>
  <si>
    <t>Wolf Gartenbau</t>
  </si>
  <si>
    <t>CHE-108.108.686</t>
  </si>
  <si>
    <t>Hirschi Schreinerei GmbH &amp; Bauplanung</t>
  </si>
  <si>
    <t>CHE-108.108.649</t>
  </si>
  <si>
    <t>CT Ipex GmbH</t>
  </si>
  <si>
    <t>G464500</t>
  </si>
  <si>
    <t>Grosshandel mit kosmetischen Erzeugnissen und Körperpflegemitteln</t>
  </si>
  <si>
    <t>CHE-131.131.097</t>
  </si>
  <si>
    <t>BUTTERFLY Care GmbH</t>
  </si>
  <si>
    <t>Dennliweg 66B</t>
  </si>
  <si>
    <t>Q869003</t>
  </si>
  <si>
    <t>Aktivitäten der Krankenschwestern, Hauspflege</t>
  </si>
  <si>
    <t>CHE-108.108.793</t>
  </si>
  <si>
    <t>teabee electronics, thomas brönnimann</t>
  </si>
  <si>
    <t>CHE-108.108.082</t>
  </si>
  <si>
    <t>Bruno Kalt AG</t>
  </si>
  <si>
    <t>Höhenweg 2</t>
  </si>
  <si>
    <t>CHE-108.108.832</t>
  </si>
  <si>
    <t>Buchsistrasse 8</t>
  </si>
  <si>
    <t>CHE-108.108.127</t>
  </si>
  <si>
    <t>Jenzer &amp; Co.</t>
  </si>
  <si>
    <t>Gjuch 164 a</t>
  </si>
  <si>
    <t>CHE-108.108.300</t>
  </si>
  <si>
    <t>Aebi's Blumenparadies GmbH</t>
  </si>
  <si>
    <t>CHE-108.108.750</t>
  </si>
  <si>
    <t>Atelier für Aussenraumgestaltung H.R. Althaus</t>
  </si>
  <si>
    <t>Doerflistrasse 6</t>
  </si>
  <si>
    <t>M711103</t>
  </si>
  <si>
    <t>Landschaftsplanungsbüros und Gartenarchitekturbüros</t>
  </si>
  <si>
    <t>CHE-108.108.557</t>
  </si>
  <si>
    <t>Alp Hintere Schmiedenmatt AG</t>
  </si>
  <si>
    <t>Fabrikstrasse 6</t>
  </si>
  <si>
    <t>CHE-108.108.505</t>
  </si>
  <si>
    <t>Cerom AG</t>
  </si>
  <si>
    <t>Oberstrasse 28</t>
  </si>
  <si>
    <t>C325003</t>
  </si>
  <si>
    <t>Zahntechnische Laboratorien</t>
  </si>
  <si>
    <t>COMPU LIFE AG</t>
  </si>
  <si>
    <t>Bahnhofstrasse 26</t>
  </si>
  <si>
    <t>CHE-108.108.240</t>
  </si>
  <si>
    <t>Hobako AG</t>
  </si>
  <si>
    <t>Erlenmattstrasse 8</t>
  </si>
  <si>
    <t>C108201</t>
  </si>
  <si>
    <t>Herstellung von Kakao- und Schokoladeerzeugnissen</t>
  </si>
  <si>
    <t>CHE-108.108.827</t>
  </si>
  <si>
    <t>Urs Bürgin</t>
  </si>
  <si>
    <t>Bleienbachstrasse 13</t>
  </si>
  <si>
    <t>CHE-107.107.003</t>
  </si>
  <si>
    <t>H. Uebersax A.G.</t>
  </si>
  <si>
    <t>Lagerstrasse 18</t>
  </si>
  <si>
    <t>CHE-107.107.360</t>
  </si>
  <si>
    <t>ELREM ELECTRONIC AG</t>
  </si>
  <si>
    <t>Industriestrasse 35</t>
  </si>
  <si>
    <t>CHE-107.107.346</t>
  </si>
  <si>
    <t>Paul Rüeger</t>
  </si>
  <si>
    <t>CHE-107.107.891</t>
  </si>
  <si>
    <t>R. Gilgen AG</t>
  </si>
  <si>
    <t>Kilchrain 7</t>
  </si>
  <si>
    <t>CHE-107.107.920</t>
  </si>
  <si>
    <t>BIC Burri Informatik + Consulting</t>
  </si>
  <si>
    <t>Hegenrain 5</t>
  </si>
  <si>
    <t>CHE-107.107.425</t>
  </si>
  <si>
    <t>Hasler Möbel AG</t>
  </si>
  <si>
    <t>Zuerichstrasse 40</t>
  </si>
  <si>
    <t>CHE-107.107.388</t>
  </si>
  <si>
    <t>Leist Optik</t>
  </si>
  <si>
    <t>CHE-107.107.689</t>
  </si>
  <si>
    <t>Roli's Möbelmarkt AG</t>
  </si>
  <si>
    <t>Hauptstrasse 425</t>
  </si>
  <si>
    <t>CHE-108.108.401</t>
  </si>
  <si>
    <t>Gehrig Partner AG</t>
  </si>
  <si>
    <t>Kanalweg 16</t>
  </si>
  <si>
    <t>CHE-440.440.758</t>
  </si>
  <si>
    <t>Dorfstrasse 10</t>
  </si>
  <si>
    <t>CHE-267.267.266</t>
  </si>
  <si>
    <t>Luder Immobilien GmbH</t>
  </si>
  <si>
    <t>Alleeweg 35</t>
  </si>
  <si>
    <t>Carrosserie Silvio Torresan</t>
  </si>
  <si>
    <t>CHE-107.107.257</t>
  </si>
  <si>
    <t>Architektur M. Lüthi AG</t>
  </si>
  <si>
    <t>Bahnhofstrasse 4</t>
  </si>
  <si>
    <t>CHE-107.107.240</t>
  </si>
  <si>
    <t>Baer &amp; Bichsel AG</t>
  </si>
  <si>
    <t>Dorfstrasse 50</t>
  </si>
  <si>
    <t>B24 Immobilien AG</t>
  </si>
  <si>
    <t>Hess Natur-Textilien AG</t>
  </si>
  <si>
    <t>CHE-107.107.582</t>
  </si>
  <si>
    <t>APC Informatik Haug</t>
  </si>
  <si>
    <t>Oberdorfstrasse 2A</t>
  </si>
  <si>
    <t>CHE-107.107.578</t>
  </si>
  <si>
    <t>Malergeschäft Adi Rogenmoser</t>
  </si>
  <si>
    <t>Wiedlisbachstrasse 26</t>
  </si>
  <si>
    <t>CHE-107.107.351</t>
  </si>
  <si>
    <t>Transporte Daniel Obi</t>
  </si>
  <si>
    <t>Jurastrasse 11</t>
  </si>
  <si>
    <t>CHE-107.107.699</t>
  </si>
  <si>
    <t>Carrosserie Beat Späti</t>
  </si>
  <si>
    <t>Schmiede 3a</t>
  </si>
  <si>
    <t>CHE-107.107.201</t>
  </si>
  <si>
    <t>Neustrasse 7</t>
  </si>
  <si>
    <t>CHE-107.107.624</t>
  </si>
  <si>
    <t>Max Kurth Transport AG</t>
  </si>
  <si>
    <t>CHE-107.107.529</t>
  </si>
  <si>
    <t>Max Zumstein AG</t>
  </si>
  <si>
    <t>Solothurnstrasse 2</t>
  </si>
  <si>
    <t>CHE-107.107.964</t>
  </si>
  <si>
    <t>KA KECK, Katrin Brielmaier</t>
  </si>
  <si>
    <t>Beundenstrasse 28</t>
  </si>
  <si>
    <t>CHE-107.107.616</t>
  </si>
  <si>
    <t>Bono AG</t>
  </si>
  <si>
    <t>Aeschistrasse 23</t>
  </si>
  <si>
    <t>CHE-107.107.579</t>
  </si>
  <si>
    <t>Franz Ingold AG</t>
  </si>
  <si>
    <t>Aeschistrasse 37</t>
  </si>
  <si>
    <t>CHE-107.107.979</t>
  </si>
  <si>
    <t>Thomas Ruch-Eggenschwiler</t>
  </si>
  <si>
    <t>Burgdorfstrasse 3</t>
  </si>
  <si>
    <t>Marti Bipp AG</t>
  </si>
  <si>
    <t>Bruehlweg 4</t>
  </si>
  <si>
    <t>CHE-107.107.676</t>
  </si>
  <si>
    <t>Haudenschild AG Niederbipp</t>
  </si>
  <si>
    <t>CHE-107.107.452</t>
  </si>
  <si>
    <t>Gabi Bipp AG</t>
  </si>
  <si>
    <t>CHE-107.107.670</t>
  </si>
  <si>
    <t>Thomas Hofer</t>
  </si>
  <si>
    <t>Langenthalstr. 6</t>
  </si>
  <si>
    <t>CHE-107.107.767</t>
  </si>
  <si>
    <t>Kohler Optik AG</t>
  </si>
  <si>
    <t>Wiesenstrasse 10</t>
  </si>
  <si>
    <t>CHE-107.107.605</t>
  </si>
  <si>
    <t>Willy Wälchli Treuhand AG</t>
  </si>
  <si>
    <t>Johanniterweg 9</t>
  </si>
  <si>
    <t>CHE-107.107.568</t>
  </si>
  <si>
    <t>Wahl AG</t>
  </si>
  <si>
    <t>Mittelstrasse 17</t>
  </si>
  <si>
    <t>CHE-107.107.545</t>
  </si>
  <si>
    <t>Willi Bösiger AG</t>
  </si>
  <si>
    <t>Gaswerkstrasse 70a</t>
  </si>
  <si>
    <t>Aarwangenstrasse 5</t>
  </si>
  <si>
    <t>CHE-107.107.770</t>
  </si>
  <si>
    <t>Franz Bucher AG</t>
  </si>
  <si>
    <t>CHE-107.107.204</t>
  </si>
  <si>
    <t>meier-garage.ch ag</t>
  </si>
  <si>
    <t>Untersteckholzstrasse 6</t>
  </si>
  <si>
    <t>CHE-107.107.173</t>
  </si>
  <si>
    <t>Sägesser + Oberli AG</t>
  </si>
  <si>
    <t>Gaswerkstrasse 66a</t>
  </si>
  <si>
    <t>CHE-107.107.090</t>
  </si>
  <si>
    <t>Andreas Hofmann AG</t>
  </si>
  <si>
    <t>Walliswil b. Niederbipp</t>
  </si>
  <si>
    <t>Banag Immobilien AG</t>
  </si>
  <si>
    <t>Schulhausstrasse 5</t>
  </si>
  <si>
    <t>CHE-107.107.007</t>
  </si>
  <si>
    <t>Meyer + Co. AG, Reisiswil</t>
  </si>
  <si>
    <t>Lochstrasse 15</t>
  </si>
  <si>
    <t>Reisiswil</t>
  </si>
  <si>
    <t>CHE-107.107.953</t>
  </si>
  <si>
    <t>Hans Löffel</t>
  </si>
  <si>
    <t>Murgstrasse 1</t>
  </si>
  <si>
    <t>K661900</t>
  </si>
  <si>
    <t>Sonstige mit Finanzdienstleistungen verbundene Tätigkeiten</t>
  </si>
  <si>
    <t>CHE-107.107.640</t>
  </si>
  <si>
    <t>Andres Bauunternehmung AG</t>
  </si>
  <si>
    <t>Schulhausstrasse 13</t>
  </si>
  <si>
    <t>CHE-106.106.291</t>
  </si>
  <si>
    <t>Rufibach Fugendichtungen, Inhaber R. Hänni</t>
  </si>
  <si>
    <t>Unterfeldstrasse 15</t>
  </si>
  <si>
    <t>CHE-106.106.289</t>
  </si>
  <si>
    <t>Walter Sohm AG</t>
  </si>
  <si>
    <t>CHE-106.106.919</t>
  </si>
  <si>
    <t>Konstruktionsbüro Fritz Kämpfer</t>
  </si>
  <si>
    <t>Boeschen 25</t>
  </si>
  <si>
    <t>Oschwand</t>
  </si>
  <si>
    <t>CHE-106.106.241</t>
  </si>
  <si>
    <t>Blatter Imhof AG</t>
  </si>
  <si>
    <t>Bahnhofstrasse 22</t>
  </si>
  <si>
    <t>G476202</t>
  </si>
  <si>
    <t>Detailhandel mit Schreibwaren und Bürobedarf</t>
  </si>
  <si>
    <t>Häxächuchi Anna Aegerter</t>
  </si>
  <si>
    <t>Vorstadt 8</t>
  </si>
  <si>
    <t>S960402</t>
  </si>
  <si>
    <t>Sonstiges Körperpflegegewerbe</t>
  </si>
  <si>
    <t>CHE-106.106.374</t>
  </si>
  <si>
    <t>D. Kiener Transporte</t>
  </si>
  <si>
    <t>Meisenweg 6</t>
  </si>
  <si>
    <t>Garage Fuhrer AG</t>
  </si>
  <si>
    <t>CHE-106.106.726</t>
  </si>
  <si>
    <t>Schick Immobilienzentrum</t>
  </si>
  <si>
    <t>Untersteckholzstrasse 26 a</t>
  </si>
  <si>
    <t>CHE-106.106.341</t>
  </si>
  <si>
    <t>Bäckerei-Café Zulauf AG</t>
  </si>
  <si>
    <t>Dorfstrasse 25</t>
  </si>
  <si>
    <t>CHE-106.106.691</t>
  </si>
  <si>
    <t>Loosli AG</t>
  </si>
  <si>
    <t>CHE-106.106.157</t>
  </si>
  <si>
    <t>Lüchinger Classic Motors AG</t>
  </si>
  <si>
    <t>Aeschistrasse 57</t>
  </si>
  <si>
    <t>CHE-106.106.779</t>
  </si>
  <si>
    <t>Holzbau Bärtschi AG</t>
  </si>
  <si>
    <t>CHE-106.106.153</t>
  </si>
  <si>
    <t>Hansueli Jordi</t>
  </si>
  <si>
    <t>Zielackerstrasse 9</t>
  </si>
  <si>
    <t>CHE-105.105.963</t>
  </si>
  <si>
    <t>Lüthi + Wyder AG</t>
  </si>
  <si>
    <t>CHE-105.105.563</t>
  </si>
  <si>
    <t>Wenger &amp; Co. AG</t>
  </si>
  <si>
    <t>Fabrikstrasse 2</t>
  </si>
  <si>
    <t>CHE-145.145.164</t>
  </si>
  <si>
    <t>Gloor IT Solutions GmbH</t>
  </si>
  <si>
    <t>CHE-225.225.486</t>
  </si>
  <si>
    <t>E+B Montagen GmbH</t>
  </si>
  <si>
    <t>Humpergstrasse 22</t>
  </si>
  <si>
    <t>CHE-105.105.797</t>
  </si>
  <si>
    <t>Attilum G. Emch, Nachf. M. Roth</t>
  </si>
  <si>
    <t>CHE-105.105.143</t>
  </si>
  <si>
    <t>Roland Flückiger Nutzfahrzeug GmbH</t>
  </si>
  <si>
    <t>Buetzbergstr. 15</t>
  </si>
  <si>
    <t>S. Ammann GmbH</t>
  </si>
  <si>
    <t>CHE-105.105.354</t>
  </si>
  <si>
    <t>Heggendorn Electronics</t>
  </si>
  <si>
    <t>Buchlistrasse 23</t>
  </si>
  <si>
    <t>CHE-105.105.691</t>
  </si>
  <si>
    <t>Alras GmbH</t>
  </si>
  <si>
    <t>c/o Raphaël Schmitt und Alicia Segurado Schmitt</t>
  </si>
  <si>
    <t>Höfliweg 34</t>
  </si>
  <si>
    <t>CHE-104.104.449</t>
  </si>
  <si>
    <t>Abritec AG</t>
  </si>
  <si>
    <t>c/o Waterjet AG</t>
  </si>
  <si>
    <t>CHE-104.104.172</t>
  </si>
  <si>
    <t>Ernst Grütter, Immobilien</t>
  </si>
  <si>
    <t>Brunnackerweg 8</t>
  </si>
  <si>
    <t>CHE-104.104.125</t>
  </si>
  <si>
    <t>Detec Systems GmbH</t>
  </si>
  <si>
    <t>Oberdorf 11</t>
  </si>
  <si>
    <t>CHE-104.104.954</t>
  </si>
  <si>
    <t>Scalata Kletterwand GmbH</t>
  </si>
  <si>
    <t>Doerfli 316a</t>
  </si>
  <si>
    <t>CHE-104.104.112</t>
  </si>
  <si>
    <t>Marcel Hofstetter</t>
  </si>
  <si>
    <t>Zuerichstr. 56</t>
  </si>
  <si>
    <t>CHE-104.104.714</t>
  </si>
  <si>
    <t>HOBL GmbH</t>
  </si>
  <si>
    <t>CHE-104.104.533</t>
  </si>
  <si>
    <t>Gehriger und Walliser GmbH</t>
  </si>
  <si>
    <t>CHE-104.104.832</t>
  </si>
  <si>
    <t>Röthlisberger Bauarbeiten</t>
  </si>
  <si>
    <t>Alte Gjuchstr. 13</t>
  </si>
  <si>
    <t>CHE-207.207.320</t>
  </si>
  <si>
    <t>Rolf Kunz AG</t>
  </si>
  <si>
    <t>CHE-104.104.360</t>
  </si>
  <si>
    <t>Rema Gastro GmbH</t>
  </si>
  <si>
    <t>CHE-104.104.963</t>
  </si>
  <si>
    <t>Baugenossenschaft Jurablick Herzogenbuchsee</t>
  </si>
  <si>
    <t>Kappeliweg 10/12</t>
  </si>
  <si>
    <t>CHE-104.104.364</t>
  </si>
  <si>
    <t>Stiftung Gemeindebibliothek Herzogenbuchsee und Umgebung</t>
  </si>
  <si>
    <t>Bernstrasse 17</t>
  </si>
  <si>
    <t>R910100</t>
  </si>
  <si>
    <t>Bibliotheken und Archive</t>
  </si>
  <si>
    <t>CHE-103.103.186</t>
  </si>
  <si>
    <t>Hilfsmittel-Markt GmbH</t>
  </si>
  <si>
    <t>Leenrütimattweg 7</t>
  </si>
  <si>
    <t>CHE-103.103.093</t>
  </si>
  <si>
    <t>EZ Landmaschinen AG</t>
  </si>
  <si>
    <t>Bützbergstrasse 70</t>
  </si>
  <si>
    <t>CHE-103.103.870</t>
  </si>
  <si>
    <t>Herrmann &amp; Co., Heryco</t>
  </si>
  <si>
    <t>Hauptstrasse 387</t>
  </si>
  <si>
    <t>CHE-103.103.737</t>
  </si>
  <si>
    <t>Burkhardt Haustechnik AG</t>
  </si>
  <si>
    <t>Zuerichstr. 45</t>
  </si>
  <si>
    <t>SAM Transporte AG</t>
  </si>
  <si>
    <t>CHE-103.103.972</t>
  </si>
  <si>
    <t>Elektro Hofer + Roth AG</t>
  </si>
  <si>
    <t>Bahnhofstrasse 15</t>
  </si>
  <si>
    <t>CHE-103.103.882</t>
  </si>
  <si>
    <t>LS Wari AG Langenthal</t>
  </si>
  <si>
    <t>Dennliweg 11</t>
  </si>
  <si>
    <t>CHE-103.103.753</t>
  </si>
  <si>
    <t>Wasserversorgungsgenossenschaft Ursenbach</t>
  </si>
  <si>
    <t>CHE-103.103.000</t>
  </si>
  <si>
    <t>Velos + Mofas Gaberthüel</t>
  </si>
  <si>
    <t>Bernstrasse 41</t>
  </si>
  <si>
    <t>CHE-115.115.288</t>
  </si>
  <si>
    <t>Immogrütter AG</t>
  </si>
  <si>
    <t>Brennofenstrasse 30</t>
  </si>
  <si>
    <t>CHE-103.103.791</t>
  </si>
  <si>
    <t>Auto Reinhard AG</t>
  </si>
  <si>
    <t>Oberstrasse 27</t>
  </si>
  <si>
    <t>CHE-103.103.656</t>
  </si>
  <si>
    <t>Löwen Thunstetten AG</t>
  </si>
  <si>
    <t>Dorfgasse 6</t>
  </si>
  <si>
    <t>CHE-102.102.174</t>
  </si>
  <si>
    <t>EGLA AG</t>
  </si>
  <si>
    <t>Aarwangenstrasse 15</t>
  </si>
  <si>
    <t>CHE-102.102.748</t>
  </si>
  <si>
    <t>Born AG</t>
  </si>
  <si>
    <t>Brügglisackerweg 33</t>
  </si>
  <si>
    <t>CHE-102.102.039</t>
  </si>
  <si>
    <t>Frei AG Niederbipp</t>
  </si>
  <si>
    <t>Aengistrasse 2</t>
  </si>
  <si>
    <t>CHE-102.102.327</t>
  </si>
  <si>
    <t>Wohnbaugenossenschaft Huttwil</t>
  </si>
  <si>
    <t>c/o Markus Buri</t>
  </si>
  <si>
    <t>Hofmattstrasse 35</t>
  </si>
  <si>
    <t>c/o Ramë Alimusaj</t>
  </si>
  <si>
    <t>Bahnhofstrasse 72</t>
  </si>
  <si>
    <t>CHE-102.102.360</t>
  </si>
  <si>
    <t>Nesslisboden-Alpen-Genossenschaft</t>
  </si>
  <si>
    <t>c/o Stephan Nyffenegger</t>
  </si>
  <si>
    <t>Alte Rohrbachstrasse 37</t>
  </si>
  <si>
    <t>CHE-102.102.837</t>
  </si>
  <si>
    <t>Marti + Menzi AG</t>
  </si>
  <si>
    <t>CHE-102.102.475</t>
  </si>
  <si>
    <t>Yopa GmbH</t>
  </si>
  <si>
    <t>Vorstadt 4</t>
  </si>
  <si>
    <t>CHE-102.102.335</t>
  </si>
  <si>
    <t>Wohnbaugenossenschaft Felderhof Herzogenbuchsee</t>
  </si>
  <si>
    <t>c/o Christoph Fankhauser, Notar und Fürsprecher</t>
  </si>
  <si>
    <t>CHE-102.102.752</t>
  </si>
  <si>
    <t>EMT Metallbautechnik AG</t>
  </si>
  <si>
    <t>CHE-102.102.086</t>
  </si>
  <si>
    <t>IP industrial projects S.A.</t>
  </si>
  <si>
    <t>Brückenstrasse 8A &amp; 8B</t>
  </si>
  <si>
    <t>CHE-101.101.270</t>
  </si>
  <si>
    <t>Sport-Service Krähenbühl</t>
  </si>
  <si>
    <t>Friedhofweg 8</t>
  </si>
  <si>
    <t>CHE-101.101.953</t>
  </si>
  <si>
    <t>Schreinerei Kunz AG</t>
  </si>
  <si>
    <t>Dorfstrasse 107</t>
  </si>
  <si>
    <t>CHE-101.101.844</t>
  </si>
  <si>
    <t>hen 83 GmbH</t>
  </si>
  <si>
    <t>CHE-101.101.152</t>
  </si>
  <si>
    <t>Güdel Gartenbau AG</t>
  </si>
  <si>
    <t>Schynerain 70</t>
  </si>
  <si>
    <t>CHE-101.101.790</t>
  </si>
  <si>
    <t>Dancing "Crazy", E. Buchser</t>
  </si>
  <si>
    <t>Untere Duerrmuehlestrasse 2</t>
  </si>
  <si>
    <t>CHE-101.101.408</t>
  </si>
  <si>
    <t>Garage Gautschi Holding AG</t>
  </si>
  <si>
    <t>CHE-101.101.522</t>
  </si>
  <si>
    <t>Elektro Gygax Verwaltungs AG</t>
  </si>
  <si>
    <t>CHE-101.101.872</t>
  </si>
  <si>
    <t>NB Immobilien AG</t>
  </si>
  <si>
    <t>Meisenweg 4</t>
  </si>
  <si>
    <t>CHE-101.101.229</t>
  </si>
  <si>
    <t>Heiniger DL AG</t>
  </si>
  <si>
    <t>M711204</t>
  </si>
  <si>
    <t>Geometerbüros</t>
  </si>
  <si>
    <t>CHE-101.101.917</t>
  </si>
  <si>
    <t>Hofmann Nutrition AG</t>
  </si>
  <si>
    <t>Industriestrasse 27</t>
  </si>
  <si>
    <t>CHE-238.238.802</t>
  </si>
  <si>
    <t>MG Sanitär GmbH</t>
  </si>
  <si>
    <t>Waldgasse 26</t>
  </si>
  <si>
    <t>CHE-101.101.454</t>
  </si>
  <si>
    <t>United Net Pages - UNP Genossenschaft</t>
  </si>
  <si>
    <t>Stierenweidstrasse 30</t>
  </si>
  <si>
    <t>CHE-100.100.990</t>
  </si>
  <si>
    <t>newi GmbH</t>
  </si>
  <si>
    <t>c/o Bernhard Neuenschwander</t>
  </si>
  <si>
    <t>Mattenweg 32</t>
  </si>
  <si>
    <t>CHE-100.100.654</t>
  </si>
  <si>
    <t>Hefe Gutenburg Holding AG</t>
  </si>
  <si>
    <t>CHE-100.100.260</t>
  </si>
  <si>
    <t>Ferienheim der Burgergemeinde Niederbipp</t>
  </si>
  <si>
    <t>c/o Burgergemeinde Niederbipp, Burgerschreiberei</t>
  </si>
  <si>
    <t>Dorfstrasse 19</t>
  </si>
  <si>
    <t>I552002</t>
  </si>
  <si>
    <t>Kollektivunterkünfte</t>
  </si>
  <si>
    <t>CHE-100.100.769</t>
  </si>
  <si>
    <t>Bausanierungen Berger Samuel</t>
  </si>
  <si>
    <t>Dorfstrasse 23</t>
  </si>
  <si>
    <t>CHE-100.100.994</t>
  </si>
  <si>
    <t>CHE-326.326.799</t>
  </si>
  <si>
    <t>GEISER logistik holding ag</t>
  </si>
  <si>
    <t>CHE-100.100.446</t>
  </si>
  <si>
    <t>Stafo AG</t>
  </si>
  <si>
    <t>Riedhofstrasse 11</t>
  </si>
  <si>
    <t>CHE-100.100.517</t>
  </si>
  <si>
    <t>Verein Kornblume</t>
  </si>
  <si>
    <t>CHE-100.100.599</t>
  </si>
  <si>
    <t>KIT Wassertechnik AG</t>
  </si>
  <si>
    <t>Subingenstrasse 2</t>
  </si>
  <si>
    <t>CHE-140.140.837</t>
  </si>
  <si>
    <t>ops Liechti</t>
  </si>
  <si>
    <t>Bahnhofstrasse 23</t>
  </si>
  <si>
    <t>CHE-112.112.110</t>
  </si>
  <si>
    <t>Zaunteam Mittelland GmbH</t>
  </si>
  <si>
    <t>Welschlandstrasse 1</t>
  </si>
  <si>
    <t>CHE-492.492.705</t>
  </si>
  <si>
    <t>RoPro-Technics GmbH</t>
  </si>
  <si>
    <t>Kleben 131</t>
  </si>
  <si>
    <t>Obersteckholz</t>
  </si>
  <si>
    <t>CHE-300.300.641</t>
  </si>
  <si>
    <t>Wellness-Kneipp-Park Karin Jordi</t>
  </si>
  <si>
    <t>Am Wald 28</t>
  </si>
  <si>
    <t>CHE-113.113.358</t>
  </si>
  <si>
    <t>MarmART Marmet</t>
  </si>
  <si>
    <t>Herrengasse 81</t>
  </si>
  <si>
    <t>CHE-102.102.588</t>
  </si>
  <si>
    <t>Wasserversorgungsgenossenschaft Obersteckholz</t>
  </si>
  <si>
    <t>c/o Thomas Niederhauser</t>
  </si>
  <si>
    <t>Winkel 18</t>
  </si>
  <si>
    <t>CHE-209.209.515</t>
  </si>
  <si>
    <t>Amstutz Maurer Holding GmbH</t>
  </si>
  <si>
    <t>CHE-368.368.795</t>
  </si>
  <si>
    <t>Physio Langenthal GmbH</t>
  </si>
  <si>
    <t>Wiesenstrasse 3a</t>
  </si>
  <si>
    <t>CHE-107.107.805</t>
  </si>
  <si>
    <t>Walther &amp; Trösch Informis AG</t>
  </si>
  <si>
    <t>Dorfstrasse 16</t>
  </si>
  <si>
    <t>N823000</t>
  </si>
  <si>
    <t>Messe-, Ausstellungs- und Kongressveranstalter</t>
  </si>
  <si>
    <t>CHE-103.103.098</t>
  </si>
  <si>
    <t>AMCOS AG Oberönz</t>
  </si>
  <si>
    <t>Schulstrasse 39</t>
  </si>
  <si>
    <t>Treuhand und Steuerberatung Müller GmbH</t>
  </si>
  <si>
    <t>Hofmattstrasse 10</t>
  </si>
  <si>
    <t>CHE-352.352.465</t>
  </si>
  <si>
    <t>Spitex Oberes Langetental AG</t>
  </si>
  <si>
    <t>Spitalstrasse 52</t>
  </si>
  <si>
    <t>CHE-107.107.647</t>
  </si>
  <si>
    <t>Stiftung Schloss Thunstetten</t>
  </si>
  <si>
    <t>CHE-408.408.642</t>
  </si>
  <si>
    <t>Rudolf Krenger Holding AG</t>
  </si>
  <si>
    <t>CHE-101.101.968</t>
  </si>
  <si>
    <t>Efag Ernst Fiechter AG</t>
  </si>
  <si>
    <t>RR Buchhaltungen GmbH</t>
  </si>
  <si>
    <t>Heimenhausenstrasse 7</t>
  </si>
  <si>
    <t>CHE-488.488.913</t>
  </si>
  <si>
    <t>Massage4 Sport &amp; Gesundheit, Theresia Ammann</t>
  </si>
  <si>
    <t>CHE-441.441.465</t>
  </si>
  <si>
    <t>Brennerei Wyss</t>
  </si>
  <si>
    <t>Balmbergstrasse 12</t>
  </si>
  <si>
    <t>CHE-359.359.392</t>
  </si>
  <si>
    <t>Spitex Genossenschaft Oberaargau Land</t>
  </si>
  <si>
    <t>Eisenbahnstrasse 18</t>
  </si>
  <si>
    <t>CHE-461.461.753</t>
  </si>
  <si>
    <t>Simon Imagefilm</t>
  </si>
  <si>
    <t>Mösliweg 3</t>
  </si>
  <si>
    <t>J591100</t>
  </si>
  <si>
    <t>Herstellung von Filmen, Videofilmen und Fernsehprogrammen</t>
  </si>
  <si>
    <t>CHE-467.467.869</t>
  </si>
  <si>
    <t>La Perla C. Mennonna</t>
  </si>
  <si>
    <t>CHE-309.309.429</t>
  </si>
  <si>
    <t>Hess ChangeManagement</t>
  </si>
  <si>
    <t>Bäreggstrasse 33</t>
  </si>
  <si>
    <t>CHE-372.372.070</t>
  </si>
  <si>
    <t>AJA Holding AG</t>
  </si>
  <si>
    <t>c/o Jürg Hofmann</t>
  </si>
  <si>
    <t>Baumgartenstrasse 6C</t>
  </si>
  <si>
    <t>CHE-328.328.074</t>
  </si>
  <si>
    <t>Reitsport Schrepfer</t>
  </si>
  <si>
    <t>Luzernstrasse 40</t>
  </si>
  <si>
    <t>CHE-323.323.952</t>
  </si>
  <si>
    <t>Uebersax consulting</t>
  </si>
  <si>
    <t>Alpenweg 11</t>
  </si>
  <si>
    <t>CHE-154.154.059</t>
  </si>
  <si>
    <t>F. Tschumi Haustechnik</t>
  </si>
  <si>
    <t>Moselenweg 3</t>
  </si>
  <si>
    <t>CHE-165.165.717</t>
  </si>
  <si>
    <t>EigenSinn Unikate Beatrice Broger</t>
  </si>
  <si>
    <t>C321300</t>
  </si>
  <si>
    <t>Herstellung von Fantasieschmuck</t>
  </si>
  <si>
    <t>CHE-222.222.650</t>
  </si>
  <si>
    <t>Bellis Mini - Freizeitpark GmbH</t>
  </si>
  <si>
    <t>Mange 7</t>
  </si>
  <si>
    <t>R900101</t>
  </si>
  <si>
    <t>Theater- und Ballettgruppen</t>
  </si>
  <si>
    <t>CHE-265.265.972</t>
  </si>
  <si>
    <t>Warenhandel Althaus AG</t>
  </si>
  <si>
    <t>C323000</t>
  </si>
  <si>
    <t>Herstellung von Sportgeräten</t>
  </si>
  <si>
    <t>Stierenbergweg 50</t>
  </si>
  <si>
    <t>CHE-297.297.020</t>
  </si>
  <si>
    <t>Fiechter Immobilien AG</t>
  </si>
  <si>
    <t>Birkenweg 12</t>
  </si>
  <si>
    <t>Rütschelen</t>
  </si>
  <si>
    <t>CHE-326.326.295</t>
  </si>
  <si>
    <t>Hanspeter Imfeld</t>
  </si>
  <si>
    <t>Gässli 3</t>
  </si>
  <si>
    <t>CHE-337.337.034</t>
  </si>
  <si>
    <t>GREUB'S SCHATZTRUHE</t>
  </si>
  <si>
    <t>Untergässli 2</t>
  </si>
  <si>
    <t>CHE-449.449.311</t>
  </si>
  <si>
    <t>Malerei Wagner</t>
  </si>
  <si>
    <t>Weissensteinstrasse 8</t>
  </si>
  <si>
    <t>A011600</t>
  </si>
  <si>
    <t>Anbau von Faserpflanzen</t>
  </si>
  <si>
    <t>CHE-488.488.273</t>
  </si>
  <si>
    <t>web-dis.ch Lüthi Fritz</t>
  </si>
  <si>
    <t>Weibelackerweg 23</t>
  </si>
  <si>
    <t>CHE-228.228.645</t>
  </si>
  <si>
    <t>Buchsi-Auto GmbH</t>
  </si>
  <si>
    <t>Bleikemattstrasse 2</t>
  </si>
  <si>
    <t>CHE-392.392.024</t>
  </si>
  <si>
    <t>c-tech.ch gmbh</t>
  </si>
  <si>
    <t>Hintergasse 6A</t>
  </si>
  <si>
    <t>CHE-346.346.760</t>
  </si>
  <si>
    <t>Bellini Personal AG</t>
  </si>
  <si>
    <t>CHE-250.250.029</t>
  </si>
  <si>
    <t>LuWi Wangen GmbH</t>
  </si>
  <si>
    <t>Vorstadt 18</t>
  </si>
  <si>
    <t>G475201</t>
  </si>
  <si>
    <t>Detailhandel mit Eisen- und Metallwaren</t>
  </si>
  <si>
    <t>CHE-491.491.142</t>
  </si>
  <si>
    <t>Bützbergstrasse 15</t>
  </si>
  <si>
    <t>CHE-256.256.672</t>
  </si>
  <si>
    <t>Arturo Egli Energieloft GmbH</t>
  </si>
  <si>
    <t>Seilereistrasse 9</t>
  </si>
  <si>
    <t>CHE-354.354.545</t>
  </si>
  <si>
    <t>Lena Plan GmbH</t>
  </si>
  <si>
    <t>CHE-268.268.002</t>
  </si>
  <si>
    <t>Coiffure Sie und Er, Manuela Rentsch-Trachsel</t>
  </si>
  <si>
    <t>Schorenstrasse 21</t>
  </si>
  <si>
    <t>C141303</t>
  </si>
  <si>
    <t>Herstellung von Oberbekleidung ohne ausgeprägten Schwerpunkt</t>
  </si>
  <si>
    <t>CHE-416.416.535</t>
  </si>
  <si>
    <t>Meier + Jäggi AG Zofingen, Zweigniederlassung Wynau</t>
  </si>
  <si>
    <t>Flurweg 26</t>
  </si>
  <si>
    <t>CHE-300.300.098</t>
  </si>
  <si>
    <t>Mercerie Gullo</t>
  </si>
  <si>
    <t>Lotzwilstrasse 6</t>
  </si>
  <si>
    <t>CHE-255.255.203</t>
  </si>
  <si>
    <t>Your Optimum GmbH</t>
  </si>
  <si>
    <t>Murgenthalstrasse 14</t>
  </si>
  <si>
    <t>Q869007</t>
  </si>
  <si>
    <t>Sonstiges Gesundheitswesen a. n. g.</t>
  </si>
  <si>
    <t>Käsereistrasse 3</t>
  </si>
  <si>
    <t>M742001</t>
  </si>
  <si>
    <t>Fotografie</t>
  </si>
  <si>
    <t>CHE-401.401.180</t>
  </si>
  <si>
    <t>Consult Spiering</t>
  </si>
  <si>
    <t>Hauptstrasse 36</t>
  </si>
  <si>
    <t>CHE-337.337.495</t>
  </si>
  <si>
    <t>IT Consulting Eggenschwiler GmbH</t>
  </si>
  <si>
    <t>CHE-208.208.876</t>
  </si>
  <si>
    <t>Garage Baur</t>
  </si>
  <si>
    <t>Grossmattstrasse 4</t>
  </si>
  <si>
    <t>CHE-166.166.396</t>
  </si>
  <si>
    <t>Oester Style</t>
  </si>
  <si>
    <t>C162900</t>
  </si>
  <si>
    <t>Herstellung von Holzwaren a. n. g, Kork-, Flecht- und Korbwaren (ohne Möbel)</t>
  </si>
  <si>
    <t>CHE-167.167.507</t>
  </si>
  <si>
    <t>Schwimmschule Susanne Wälchli</t>
  </si>
  <si>
    <t>Lagerweg 10</t>
  </si>
  <si>
    <t>CHE-139.139.917</t>
  </si>
  <si>
    <t>Steamcave Oliver Grimm</t>
  </si>
  <si>
    <t>CHE-441.441.079</t>
  </si>
  <si>
    <t>Salute AG</t>
  </si>
  <si>
    <t>Marktgasse 26</t>
  </si>
  <si>
    <t>CHE-319.319.211</t>
  </si>
  <si>
    <t>Sport-Garage Affentranger AG</t>
  </si>
  <si>
    <t>Langenthalstrasse 57a</t>
  </si>
  <si>
    <t>CHE-186.186.883</t>
  </si>
  <si>
    <t>FSH-Concept AG</t>
  </si>
  <si>
    <t>Aarwangenstrasse 26</t>
  </si>
  <si>
    <t>CHE-290.290.166</t>
  </si>
  <si>
    <t>TonIsol GmbH</t>
  </si>
  <si>
    <t>CHE-156.156.942</t>
  </si>
  <si>
    <t>KW AG</t>
  </si>
  <si>
    <t>c/o Kurt Weber</t>
  </si>
  <si>
    <t>Bleichestrasse 32</t>
  </si>
  <si>
    <t>CHE-317.317.779</t>
  </si>
  <si>
    <t>Hofer Gastro GmbH</t>
  </si>
  <si>
    <t>Dörfli 17</t>
  </si>
  <si>
    <t>CHE-337.337.700</t>
  </si>
  <si>
    <t>Volera GmbH</t>
  </si>
  <si>
    <t>Haselweg 6</t>
  </si>
  <si>
    <t>CHE-231.231.507</t>
  </si>
  <si>
    <t>Poschung Sport</t>
  </si>
  <si>
    <t>CHE-373.373.429</t>
  </si>
  <si>
    <t>Retro Scooters Russo</t>
  </si>
  <si>
    <t>CHE-357.357.835</t>
  </si>
  <si>
    <t>Dorfgarage A. Meister</t>
  </si>
  <si>
    <t>Dorfstrasse 30</t>
  </si>
  <si>
    <t>CHE-329.329.392</t>
  </si>
  <si>
    <t>Kochtöpfli GmbH</t>
  </si>
  <si>
    <t>Cuno Amiet-Strasse 7</t>
  </si>
  <si>
    <t>CHE-424.424.319</t>
  </si>
  <si>
    <t>creatif der Bastelladen, Sandra Hecht</t>
  </si>
  <si>
    <t>CHE-404.404.916</t>
  </si>
  <si>
    <t>Nota-Tax KlG</t>
  </si>
  <si>
    <t>CHE-487.487.663</t>
  </si>
  <si>
    <t>Hintiplan GmbH</t>
  </si>
  <si>
    <t>CHE-204.204.740</t>
  </si>
  <si>
    <t>ISO-CENTER AG, Zweigniederlassung Wiedlisbach</t>
  </si>
  <si>
    <t>Gartenstrasse 7</t>
  </si>
  <si>
    <t>CHE-428.428.367</t>
  </si>
  <si>
    <t>BL work GmbH</t>
  </si>
  <si>
    <t>CHE-248.248.617</t>
  </si>
  <si>
    <t>Coole-Software Walter</t>
  </si>
  <si>
    <t>Buechholzweg 18</t>
  </si>
  <si>
    <t>CHE-245.245.023</t>
  </si>
  <si>
    <t>LBL GmbH</t>
  </si>
  <si>
    <t>Haldenweg 16</t>
  </si>
  <si>
    <t>CHE-470.470.499</t>
  </si>
  <si>
    <t>MS Autoservice GmbH</t>
  </si>
  <si>
    <t>Dorf 150</t>
  </si>
  <si>
    <t>Spitalgasse 6</t>
  </si>
  <si>
    <t>CHE-440.440.779</t>
  </si>
  <si>
    <t>Marcel und Roger Hofstetter Immobilien</t>
  </si>
  <si>
    <t>CHE-433.433.307</t>
  </si>
  <si>
    <t>MZ-SoftwareTechnik GmbH</t>
  </si>
  <si>
    <t>Vorstadt 39</t>
  </si>
  <si>
    <t>CHE-380.380.827</t>
  </si>
  <si>
    <t>SUJEE DESIGN GmbH</t>
  </si>
  <si>
    <t>Waldgasse 30</t>
  </si>
  <si>
    <t>CHE-305.305.030</t>
  </si>
  <si>
    <t>Somlyte Christina Sommer</t>
  </si>
  <si>
    <t>Bachstrasse 6</t>
  </si>
  <si>
    <t>CHE-341.341.476</t>
  </si>
  <si>
    <t>Coiffure Marisa, Marisa Romualdi</t>
  </si>
  <si>
    <t>Untere Dürrmühle 5</t>
  </si>
  <si>
    <t>CHE-478.478.082</t>
  </si>
  <si>
    <t>Coiffeur Hairstyle Monika Hängärtner</t>
  </si>
  <si>
    <t>CHE-348.348.129</t>
  </si>
  <si>
    <t>HBTM Generation AG</t>
  </si>
  <si>
    <t>CHE-228.228.641</t>
  </si>
  <si>
    <t>c/o röm.-kath. Kirchgemeinde</t>
  </si>
  <si>
    <t>Hasenmattstrasse 36</t>
  </si>
  <si>
    <t>CHE-426.426.263</t>
  </si>
  <si>
    <t>Winecoach Simon Hess</t>
  </si>
  <si>
    <t>Käsereistrasse 18C</t>
  </si>
  <si>
    <t>CHE-334.334.267</t>
  </si>
  <si>
    <t>Lanpa GmbH</t>
  </si>
  <si>
    <t>Tannenweg 4</t>
  </si>
  <si>
    <t>CHE-142.142.236</t>
  </si>
  <si>
    <t>Stucky's Tesla Vermietung</t>
  </si>
  <si>
    <t>CHE-254.254.146</t>
  </si>
  <si>
    <t>Elmaneea Holding GmbH</t>
  </si>
  <si>
    <t>Buchsweg 5</t>
  </si>
  <si>
    <t>CHE-382.382.148</t>
  </si>
  <si>
    <t>Schweizer Facility Services</t>
  </si>
  <si>
    <t>Winkelweg 3</t>
  </si>
  <si>
    <t>CHE-206.206.095</t>
  </si>
  <si>
    <t>Hofmann Switzerland AG</t>
  </si>
  <si>
    <t>lndustriestrasse 30</t>
  </si>
  <si>
    <t>Hauptstrasse 29</t>
  </si>
  <si>
    <t>CHE-442.442.787</t>
  </si>
  <si>
    <t>SANAFEE GmbH</t>
  </si>
  <si>
    <t>CHE-152.152.649</t>
  </si>
  <si>
    <t>Wegacher Immobilien AG</t>
  </si>
  <si>
    <t>Seilerstrasse 18</t>
  </si>
  <si>
    <t>CHE-310.310.806</t>
  </si>
  <si>
    <t>Marktgasse 12</t>
  </si>
  <si>
    <t>Riedmatt 27</t>
  </si>
  <si>
    <t>M741001</t>
  </si>
  <si>
    <t>Industrie- und Produktdesign</t>
  </si>
  <si>
    <t>CHE-308.308.446</t>
  </si>
  <si>
    <t>Peter Hess Holding AG</t>
  </si>
  <si>
    <t>c/o Hans Greub AG</t>
  </si>
  <si>
    <t>Flurstrasse 40</t>
  </si>
  <si>
    <t>CHE-111.111.273</t>
  </si>
  <si>
    <t>Jürg Peter</t>
  </si>
  <si>
    <t>CHE-416.416.836</t>
  </si>
  <si>
    <t>Podologie Hasler</t>
  </si>
  <si>
    <t>CHE-302.302.914</t>
  </si>
  <si>
    <t>puzzle-paradies.ch Günther</t>
  </si>
  <si>
    <t>Güschelstrasse 2</t>
  </si>
  <si>
    <t>CHE-148.148.041</t>
  </si>
  <si>
    <t>Tosito Holding GmbH</t>
  </si>
  <si>
    <t>c/o Thomas Mario Esposito</t>
  </si>
  <si>
    <t>Wangenstrasse 40</t>
  </si>
  <si>
    <t>CHE-317.317.662</t>
  </si>
  <si>
    <t>LeiserCons GmbH</t>
  </si>
  <si>
    <t>CHE-242.242.666</t>
  </si>
  <si>
    <t>A1 Carrosserie GmbH</t>
  </si>
  <si>
    <t>Holzhäusernstrasse 28</t>
  </si>
  <si>
    <t>CHE-277.277.271</t>
  </si>
  <si>
    <t>Bill Bedachungen GmbH</t>
  </si>
  <si>
    <t>Hauptstrasse 3</t>
  </si>
  <si>
    <t>G467500</t>
  </si>
  <si>
    <t>Grosshandel mit chemischen Erzeugnissen</t>
  </si>
  <si>
    <t>CHE-354.354.195</t>
  </si>
  <si>
    <t>Pascal Ruf Holding AG</t>
  </si>
  <si>
    <t>Lanzenbühlweg 10</t>
  </si>
  <si>
    <t>CHE-484.484.903</t>
  </si>
  <si>
    <t>Ryser Landtechnik</t>
  </si>
  <si>
    <t>Alte Bernstrasse 2</t>
  </si>
  <si>
    <t>CHE-439.439.532</t>
  </si>
  <si>
    <t>BELENA GmbH</t>
  </si>
  <si>
    <t>c/o Beat Lehmann</t>
  </si>
  <si>
    <t>Melchnaustrasse 58B</t>
  </si>
  <si>
    <t>CHE-396.396.576</t>
  </si>
  <si>
    <t>MTK Real Estate AG</t>
  </si>
  <si>
    <t>Johanniterweg 6</t>
  </si>
  <si>
    <t>CHE-359.359.018</t>
  </si>
  <si>
    <t>ISA 93 GmbH</t>
  </si>
  <si>
    <t>Südstrasse 13</t>
  </si>
  <si>
    <t>CHE-297.297.982</t>
  </si>
  <si>
    <t>dimacasa AG</t>
  </si>
  <si>
    <t>CHE-304.304.028</t>
  </si>
  <si>
    <t>Bering AG, Zweigniederlassung Langenthal</t>
  </si>
  <si>
    <t>Rosenweg 21</t>
  </si>
  <si>
    <t>CHE-492.492.013</t>
  </si>
  <si>
    <t>Die Dorfgärtnerei G + K GmbH</t>
  </si>
  <si>
    <t>Thunstettenstrasse 2</t>
  </si>
  <si>
    <t>CHE-199.199.524</t>
  </si>
  <si>
    <t>KRIEGER SKI &amp; BOARD</t>
  </si>
  <si>
    <t>Nyffel-Hübeli 9</t>
  </si>
  <si>
    <t>CHE-384.384.832</t>
  </si>
  <si>
    <t>Santé Lady Fitness GmbH</t>
  </si>
  <si>
    <t>Zürichstrasse 54</t>
  </si>
  <si>
    <t>R931300</t>
  </si>
  <si>
    <t>Gymnastik- und Fitnesszentren</t>
  </si>
  <si>
    <t>CHE-433.433.045</t>
  </si>
  <si>
    <t>CHE-306.306.675</t>
  </si>
  <si>
    <t>Messerli Gartenbau</t>
  </si>
  <si>
    <t>Landstrasse 19A</t>
  </si>
  <si>
    <t>CHE-148.148.640</t>
  </si>
  <si>
    <t>Lang Heizungen AG</t>
  </si>
  <si>
    <t>Försterstrasse 4a</t>
  </si>
  <si>
    <t>CHE-482.482.442</t>
  </si>
  <si>
    <t>Garage Lüthi AG Hermiswil, Zweigniederlassung Langenthal</t>
  </si>
  <si>
    <t>CHE-310.310.492</t>
  </si>
  <si>
    <t>Microtunnel.ch AG</t>
  </si>
  <si>
    <t>F422100</t>
  </si>
  <si>
    <t>Rohrleitungstiefbau, Brunnenbau und Kläranlagenbau</t>
  </si>
  <si>
    <t>CHE-467.467.088</t>
  </si>
  <si>
    <t>Carrosserie Bohnenblust GmbH</t>
  </si>
  <si>
    <t>Hinterfeldweg 1</t>
  </si>
  <si>
    <t>CHE-270.270.780</t>
  </si>
  <si>
    <t>c/o Hung Bac Tran</t>
  </si>
  <si>
    <t>Mühle 48a</t>
  </si>
  <si>
    <t>CHE-143.143.671</t>
  </si>
  <si>
    <t>Wyssmann GmbH</t>
  </si>
  <si>
    <t>CHE-296.296.911</t>
  </si>
  <si>
    <t>CHE-416.416.605</t>
  </si>
  <si>
    <t>B&amp;B LEDesign GmbH</t>
  </si>
  <si>
    <t>Hinterstädtli 5</t>
  </si>
  <si>
    <t>CHE-321.321.604</t>
  </si>
  <si>
    <t>Dogis GmbH</t>
  </si>
  <si>
    <t>CHE-454.454.639</t>
  </si>
  <si>
    <t>Städtli-Metzg Rieder</t>
  </si>
  <si>
    <t>In der Gass 1</t>
  </si>
  <si>
    <t>CHE-455.455.537</t>
  </si>
  <si>
    <t>Remako GmbH</t>
  </si>
  <si>
    <t>c/o M. Egli Metallbau GmbH</t>
  </si>
  <si>
    <t>Bützbergstrasse 10</t>
  </si>
  <si>
    <t>CHE-497.497.065</t>
  </si>
  <si>
    <t>Rossier Online Shop</t>
  </si>
  <si>
    <t>Felderhofstrasse 24</t>
  </si>
  <si>
    <t>CHE-276.276.268</t>
  </si>
  <si>
    <t>Praxis für medizinische und kosmetische Mikropigmentation Brigitte Althaus</t>
  </si>
  <si>
    <t>Bettenhausenstrasse 50</t>
  </si>
  <si>
    <t>CHE-417.417.121</t>
  </si>
  <si>
    <t>c/o Ducksch Anliker Architekten AG</t>
  </si>
  <si>
    <t>CHE-206.206.484</t>
  </si>
  <si>
    <t>Doktoria AG</t>
  </si>
  <si>
    <t>Aeschistrasse 32</t>
  </si>
  <si>
    <t>CHE-261.261.956</t>
  </si>
  <si>
    <t>Fabio Fluri Detailhandel GmbH</t>
  </si>
  <si>
    <t>Vorstadt 14</t>
  </si>
  <si>
    <t>CHE-228.228.039</t>
  </si>
  <si>
    <t>Welschland AG</t>
  </si>
  <si>
    <t>Buchenweg 5</t>
  </si>
  <si>
    <t>CHE-150.150.947</t>
  </si>
  <si>
    <t>TR Autos GmbH</t>
  </si>
  <si>
    <t>Zürichstrasse 23</t>
  </si>
  <si>
    <t>CHE-170.170.526</t>
  </si>
  <si>
    <t>CYST Holding AG</t>
  </si>
  <si>
    <t>CHE-219.219.426</t>
  </si>
  <si>
    <t>J581900</t>
  </si>
  <si>
    <t>Sonstiges Verlagswesen (ohne Software)</t>
  </si>
  <si>
    <t>CHE-338.338.478</t>
  </si>
  <si>
    <t>vinothek wine-insider.ch GmbH</t>
  </si>
  <si>
    <t>CHE-296.296.382</t>
  </si>
  <si>
    <t>CREAbelle vo Härze vor Isa Dürrenmatt</t>
  </si>
  <si>
    <t>Aeschistrasse 33</t>
  </si>
  <si>
    <t>P855904</t>
  </si>
  <si>
    <t>Sonstiger Unterricht a. n. g.</t>
  </si>
  <si>
    <t>CHE-369.369.686</t>
  </si>
  <si>
    <t>Städtli 23</t>
  </si>
  <si>
    <t>CHE-230.230.116</t>
  </si>
  <si>
    <t>Touring Garage Schwägli GmbH</t>
  </si>
  <si>
    <t>Bielstrasse 50</t>
  </si>
  <si>
    <t>CHE-408.408.205</t>
  </si>
  <si>
    <t>A. Kohl AG</t>
  </si>
  <si>
    <t>Friedhofweg 1</t>
  </si>
  <si>
    <t>CHE-176.176.616</t>
  </si>
  <si>
    <t>AuLu GmbH</t>
  </si>
  <si>
    <t>Madiswilstrasse 30</t>
  </si>
  <si>
    <t>Sonnenweg 11</t>
  </si>
  <si>
    <t>Kirchgasse 10</t>
  </si>
  <si>
    <t>CHE-332.332.101</t>
  </si>
  <si>
    <t>M.H Dienstleistungs GmbH</t>
  </si>
  <si>
    <t>Kalberweid 3</t>
  </si>
  <si>
    <t>CHE-209.209.585</t>
  </si>
  <si>
    <t>Hert Erich</t>
  </si>
  <si>
    <t>Vorstadt 3</t>
  </si>
  <si>
    <t>CHE-454.454.829</t>
  </si>
  <si>
    <t>Fritz Schär AG</t>
  </si>
  <si>
    <t>Dorf 41A</t>
  </si>
  <si>
    <t>CHE-475.475.665</t>
  </si>
  <si>
    <t>Gartenstrasse 14</t>
  </si>
  <si>
    <t>CHE-431.431.924</t>
  </si>
  <si>
    <t>Dorfstrasse 53</t>
  </si>
  <si>
    <t>CHE-416.416.496</t>
  </si>
  <si>
    <t>Daniel Beer Entsorgungen GmbH</t>
  </si>
  <si>
    <t>CHE-324.324.433</t>
  </si>
  <si>
    <t>all in one treuhand gmbh</t>
  </si>
  <si>
    <t>CHE-238.238.477</t>
  </si>
  <si>
    <t>ABCtennis GmbH</t>
  </si>
  <si>
    <t>Chilefeldstrasse 6</t>
  </si>
  <si>
    <t>CHE-371.371.030</t>
  </si>
  <si>
    <t>LeMar Consulting GmbH</t>
  </si>
  <si>
    <t>CHE-304.304.196</t>
  </si>
  <si>
    <t>Sinoptima Consulting GmbH</t>
  </si>
  <si>
    <t>Obere Dürrmühlestrasse 27</t>
  </si>
  <si>
    <t>CHE-185.185.387</t>
  </si>
  <si>
    <t>Oerlikon Balzers Coating AG, Balzers (FL), Zweigniederlassung Langenthal</t>
  </si>
  <si>
    <t>Ausländische Zweigniederlassung</t>
  </si>
  <si>
    <t>Aarwangenstrasse 92A</t>
  </si>
  <si>
    <t>CHE-212.212.082</t>
  </si>
  <si>
    <t>Eselmüller-Stiftung</t>
  </si>
  <si>
    <t>Eggen 16</t>
  </si>
  <si>
    <t>CHE-185.185.844</t>
  </si>
  <si>
    <t>Evin Gastro GmbH</t>
  </si>
  <si>
    <t>CHE-133.133.203</t>
  </si>
  <si>
    <t>Sahiti Keramische Wand &amp; Bodenbeläge</t>
  </si>
  <si>
    <t>CHE-162.162.188</t>
  </si>
  <si>
    <t>NNG-Marktplatz Otto Erni</t>
  </si>
  <si>
    <t>Poststrasse 2</t>
  </si>
  <si>
    <t>Zürichstrasse 52</t>
  </si>
  <si>
    <t>CHE-108.108.434</t>
  </si>
  <si>
    <t>Rolf Greminger Transporte</t>
  </si>
  <si>
    <t>Am Bach 92a</t>
  </si>
  <si>
    <t>CHE-314.314.899</t>
  </si>
  <si>
    <t>fisheep's publishing klg</t>
  </si>
  <si>
    <t>Reckenbergstrasse 5</t>
  </si>
  <si>
    <t>CHE-153.153.962</t>
  </si>
  <si>
    <t>Simon Liegenschaftsdienst</t>
  </si>
  <si>
    <t>CHE-487.487.798</t>
  </si>
  <si>
    <t>bau art holz inh. BERGER</t>
  </si>
  <si>
    <t>Nyffenegg 13</t>
  </si>
  <si>
    <t>N773200</t>
  </si>
  <si>
    <t>Vermietung von Baumaschinen und -geräten</t>
  </si>
  <si>
    <t>CHE-428.428.678</t>
  </si>
  <si>
    <t>Fuhrimann GmbH</t>
  </si>
  <si>
    <t>Luzernstrasse 23</t>
  </si>
  <si>
    <t>CHE-267.267.243</t>
  </si>
  <si>
    <t>Scheidegger Solutions GmbH</t>
  </si>
  <si>
    <t>Belchenweg 7</t>
  </si>
  <si>
    <t>CHE-289.289.457</t>
  </si>
  <si>
    <t>Roth Waffen</t>
  </si>
  <si>
    <t>Untergasse 12</t>
  </si>
  <si>
    <t>CHE-353.353.760</t>
  </si>
  <si>
    <t>Nyfeler Holzwaren AG</t>
  </si>
  <si>
    <t>Bifang 17</t>
  </si>
  <si>
    <t>C324000</t>
  </si>
  <si>
    <t>Herstellung von Spielwaren</t>
  </si>
  <si>
    <t>CHE-130.130.494</t>
  </si>
  <si>
    <t>Drossel 42 GmbH</t>
  </si>
  <si>
    <t>Obere Dürrmühlestrasse 13</t>
  </si>
  <si>
    <t>CHE-497.497.044</t>
  </si>
  <si>
    <t>CHE-438.438.533</t>
  </si>
  <si>
    <t>Fasan 65 GmbH</t>
  </si>
  <si>
    <t>CHE-190.190.749</t>
  </si>
  <si>
    <t>SK Franchising AG</t>
  </si>
  <si>
    <t>Aegertenstrasse 32</t>
  </si>
  <si>
    <t>CHE-395.395.318</t>
  </si>
  <si>
    <t>ROBO STUDIO GmbH</t>
  </si>
  <si>
    <t>CHE-244.244.806</t>
  </si>
  <si>
    <t>me.s Gastro GmbH</t>
  </si>
  <si>
    <t>Hauptstrasse 32</t>
  </si>
  <si>
    <t>CHE-423.423.954</t>
  </si>
  <si>
    <t>Bützberg Express Pizza Kurier, Mustafa Yasar</t>
  </si>
  <si>
    <t>CHE-135.135.697</t>
  </si>
  <si>
    <t>Convita Immobilien GmbH</t>
  </si>
  <si>
    <t>G476201</t>
  </si>
  <si>
    <t>Detailhandel mit Zeitschriften und Zeitungen; Kioske</t>
  </si>
  <si>
    <t>Weissensteinstrasse 10F</t>
  </si>
  <si>
    <t>CHE-411.411.954</t>
  </si>
  <si>
    <t>von Schulthess Holding AG</t>
  </si>
  <si>
    <t>CHE-251.251.606</t>
  </si>
  <si>
    <t>Greiner Diagnostic AG</t>
  </si>
  <si>
    <t>Dennliweg 15</t>
  </si>
  <si>
    <t>N821901</t>
  </si>
  <si>
    <t>Sekretariats- und Schreibdienste</t>
  </si>
  <si>
    <t>CHE-483.483.667</t>
  </si>
  <si>
    <t>Janik Leuenberger</t>
  </si>
  <si>
    <t>Moosackerweg 20</t>
  </si>
  <si>
    <t>CHE-291.291.914</t>
  </si>
  <si>
    <t>Schenk Kaltenherberg GmbH</t>
  </si>
  <si>
    <t>Langenthalstrasse 15</t>
  </si>
  <si>
    <t>N821100</t>
  </si>
  <si>
    <t>Allgemeine Sekretariats- und Schreibdienste</t>
  </si>
  <si>
    <t>CHE-399.399.837</t>
  </si>
  <si>
    <t>Lifetec AG Schweiz, Zweigniederlassung Region Bern</t>
  </si>
  <si>
    <t>Oenzgasse 11</t>
  </si>
  <si>
    <t>CHE-492.492.167</t>
  </si>
  <si>
    <t>EDI Express GmbH</t>
  </si>
  <si>
    <t>Oberstrasse 19</t>
  </si>
  <si>
    <t>CHE-226.226.288</t>
  </si>
  <si>
    <t>Russo Holding AG</t>
  </si>
  <si>
    <t>CHE-197.197.541</t>
  </si>
  <si>
    <t>textwerk langenthal GmbH</t>
  </si>
  <si>
    <t>Rumiweg 17k</t>
  </si>
  <si>
    <t>CHE-141.141.059</t>
  </si>
  <si>
    <t>Fagus lucida-Stiftung</t>
  </si>
  <si>
    <t>c/o Monique Regenass-Bucher</t>
  </si>
  <si>
    <t>CHE-109.109.332</t>
  </si>
  <si>
    <t>Adrian Flückiger Plattenbeläge / Ofenbau</t>
  </si>
  <si>
    <t>CHE-346.346.083</t>
  </si>
  <si>
    <t>Stettler Immobilien AG</t>
  </si>
  <si>
    <t>Marktgasse 15</t>
  </si>
  <si>
    <t>CHE-480.480.712</t>
  </si>
  <si>
    <t>Loft5 Kosmetik Widmer GmbH</t>
  </si>
  <si>
    <t>CHE-399.399.144</t>
  </si>
  <si>
    <t>Frauenarztpraxis Langenthal AG</t>
  </si>
  <si>
    <t>Talstrasse 6</t>
  </si>
  <si>
    <t>Q862200</t>
  </si>
  <si>
    <t>Facharztpraxen</t>
  </si>
  <si>
    <t>CHE-368.368.349</t>
  </si>
  <si>
    <t>Kühlanhängervermietung Fabian Misteli</t>
  </si>
  <si>
    <t>CHE-420.420.819</t>
  </si>
  <si>
    <t>BELENA Beratungen GmbH</t>
  </si>
  <si>
    <t>CHE-289.289.644</t>
  </si>
  <si>
    <t>xylu gmbh</t>
  </si>
  <si>
    <t>Aarwangenstrasse 77</t>
  </si>
  <si>
    <t>CHE-431.431.974</t>
  </si>
  <si>
    <t>ELMIGER AMERICAN PERFORMANCE GmbH</t>
  </si>
  <si>
    <t>Gaswerkstrasse 52</t>
  </si>
  <si>
    <t>CHE-401.401.226</t>
  </si>
  <si>
    <t>engineering 5D GmbH</t>
  </si>
  <si>
    <t>Leinackerstrasse 51E</t>
  </si>
  <si>
    <t>Bleienbachstrasse 12</t>
  </si>
  <si>
    <t>CHE-475.475.292</t>
  </si>
  <si>
    <t>Condor 34 GmbH</t>
  </si>
  <si>
    <t>Obere Dürrmühle 13</t>
  </si>
  <si>
    <t>CHE-245.245.828</t>
  </si>
  <si>
    <t>Elster 51 GmbH</t>
  </si>
  <si>
    <t>CHE-276.276.502</t>
  </si>
  <si>
    <t>Premium HA GmbH</t>
  </si>
  <si>
    <t>Geissbergweg 17B</t>
  </si>
  <si>
    <t>CHE-281.281.638</t>
  </si>
  <si>
    <t>Kinderarztpraxis Dr. med. Alexandra Holenweg</t>
  </si>
  <si>
    <t>Schorenstrasse 30</t>
  </si>
  <si>
    <t>CHE-338.338.808</t>
  </si>
  <si>
    <t>Jenny Bau &amp; Forst GmbH</t>
  </si>
  <si>
    <t>Walden 6</t>
  </si>
  <si>
    <t>F431200</t>
  </si>
  <si>
    <t>Vorbereitende Baustellenarbeiten</t>
  </si>
  <si>
    <t>CHE-452.452.638</t>
  </si>
  <si>
    <t>NDK Immobilien AG</t>
  </si>
  <si>
    <t>Bärenweg 13</t>
  </si>
  <si>
    <t>CHE-417.417.819</t>
  </si>
  <si>
    <t>Barbara Hasler I barunovida</t>
  </si>
  <si>
    <t>Kohlplatzstrasse 9</t>
  </si>
  <si>
    <t>CHE-305.305.643</t>
  </si>
  <si>
    <t>Kaufmann Family Business &amp; Coaching</t>
  </si>
  <si>
    <t>CHE-485.485.762</t>
  </si>
  <si>
    <t>Kopp Trans Transporte und Überführungen</t>
  </si>
  <si>
    <t>Rötlengässli 6</t>
  </si>
  <si>
    <t>CHE-133.133.080</t>
  </si>
  <si>
    <t>Gynäkologie Oberaargau AG</t>
  </si>
  <si>
    <t>CHE-357.357.326</t>
  </si>
  <si>
    <t>Asia Truly Asia Widanaralalage</t>
  </si>
  <si>
    <t>Sonnhaldenstrasse 24</t>
  </si>
  <si>
    <t>CHE-467.467.138</t>
  </si>
  <si>
    <t>Schuhcafé Caspar AG</t>
  </si>
  <si>
    <t>Marktgasse 13</t>
  </si>
  <si>
    <t>CHE-262.262.722</t>
  </si>
  <si>
    <t>Einschlagstrasse 2</t>
  </si>
  <si>
    <t>CHE-214.214.072</t>
  </si>
  <si>
    <t>Convita GmbH</t>
  </si>
  <si>
    <t>CHE-225.225.555</t>
  </si>
  <si>
    <t>Vagner Aguiar GmbH</t>
  </si>
  <si>
    <t>Mühleweg 15</t>
  </si>
  <si>
    <t>CHE-362.362.635</t>
  </si>
  <si>
    <t>Morgenthaler Kaffeemaschinen</t>
  </si>
  <si>
    <t>Murgenthalstrasse 57</t>
  </si>
  <si>
    <t>S952200</t>
  </si>
  <si>
    <t>Reparatur von elektrischen Haushaltsgeräten und Gartengeräten</t>
  </si>
  <si>
    <t>Weissensteinstrasse 15</t>
  </si>
  <si>
    <t>CHE-199.199.557</t>
  </si>
  <si>
    <t>HELSINKIBOUTIQUE by Pihla-Maria Paavilainen</t>
  </si>
  <si>
    <t>Rankmattweg 19</t>
  </si>
  <si>
    <t>Oltenstrasse 4</t>
  </si>
  <si>
    <t>CHE-280.280.674</t>
  </si>
  <si>
    <t>Happy Heart Strametz</t>
  </si>
  <si>
    <t>G464905</t>
  </si>
  <si>
    <t>Grosshandel mit Geschenkartikeln und Souvenirs</t>
  </si>
  <si>
    <t>CHE-407.407.274</t>
  </si>
  <si>
    <t>Restaurant Oberli AG</t>
  </si>
  <si>
    <t>Dorfstrasse 14</t>
  </si>
  <si>
    <t>CHE-395.395.850</t>
  </si>
  <si>
    <t>Asgowi GmbH</t>
  </si>
  <si>
    <t>Dorfgasse 35</t>
  </si>
  <si>
    <t>c/o Rudolf Geiser AG</t>
  </si>
  <si>
    <t>Weidgasse 19</t>
  </si>
  <si>
    <t>CHE-317.317.171</t>
  </si>
  <si>
    <t>immo zbinden GmbH</t>
  </si>
  <si>
    <t>Mühlestrasse 22</t>
  </si>
  <si>
    <t>CHE-188.188.562</t>
  </si>
  <si>
    <t>Garage Bandi GmbH</t>
  </si>
  <si>
    <t>Oltenstrasse 9</t>
  </si>
  <si>
    <t>CHE-410.410.930</t>
  </si>
  <si>
    <t>CHE-485.485.636</t>
  </si>
  <si>
    <t>Neurozentrum Oberaargau AG Niederlassung Bützberg</t>
  </si>
  <si>
    <t>Bernstrasse 37</t>
  </si>
  <si>
    <t>CHE-400.400.104</t>
  </si>
  <si>
    <t>Therapie Nicole Baumann</t>
  </si>
  <si>
    <t>Wiesenstrasse 21</t>
  </si>
  <si>
    <t>CHE-460.460.564</t>
  </si>
  <si>
    <t>Proper Job Translations GmbH</t>
  </si>
  <si>
    <t>Dornackerweg 5</t>
  </si>
  <si>
    <t>M743000</t>
  </si>
  <si>
    <t>Übersetzen und Dolmetschen</t>
  </si>
  <si>
    <t>CHE-267.267.332</t>
  </si>
  <si>
    <t>BunTech GmbH</t>
  </si>
  <si>
    <t>CHE-486.486.452</t>
  </si>
  <si>
    <t>Seidl Economics AG</t>
  </si>
  <si>
    <t>Kleinfeldstrasse 15</t>
  </si>
  <si>
    <t>CHE-240.240.609</t>
  </si>
  <si>
    <t>A. Meyer Bedachungen / Fassaden Nachfolger Thomas Kropf</t>
  </si>
  <si>
    <t>Bützbergstrasse 35e</t>
  </si>
  <si>
    <t>CHE-233.233.904</t>
  </si>
  <si>
    <t>Auto Service Hard GmbH</t>
  </si>
  <si>
    <t>Mumenthalstrasse 9</t>
  </si>
  <si>
    <t>CHE-295.295.912</t>
  </si>
  <si>
    <t>Aeberhardt GmbH</t>
  </si>
  <si>
    <t>Wangenstrasse 41</t>
  </si>
  <si>
    <t>CHE-255.255.211</t>
  </si>
  <si>
    <t>Buchsitaxi Gerhard Hählen</t>
  </si>
  <si>
    <t>Burgerweg 34</t>
  </si>
  <si>
    <t>CHE-452.452.141</t>
  </si>
  <si>
    <t>Milev für Alles, Inh. Mario Milev</t>
  </si>
  <si>
    <t>CHE-139.139.252</t>
  </si>
  <si>
    <t>RR HAUS &amp; TECH GmbH</t>
  </si>
  <si>
    <t>CHE-306.306.565</t>
  </si>
  <si>
    <t>SDC Tuning GmbH</t>
  </si>
  <si>
    <t>CHE-165.165.146</t>
  </si>
  <si>
    <t>Kiddy Dome Swiss AG</t>
  </si>
  <si>
    <t>R932100</t>
  </si>
  <si>
    <t>Vergnügungs- und Themenparks</t>
  </si>
  <si>
    <t>CHE-420.420.515</t>
  </si>
  <si>
    <t>Fürobeholzwörm GmbH</t>
  </si>
  <si>
    <t>Untere Seilern 147</t>
  </si>
  <si>
    <t>CHE-467.467.954</t>
  </si>
  <si>
    <t>Bau-Weise.ch AG</t>
  </si>
  <si>
    <t>Stierenweidstrasse 16</t>
  </si>
  <si>
    <t>CHE-344.344.889</t>
  </si>
  <si>
    <t>Ilayda &amp; Zilan GmbH</t>
  </si>
  <si>
    <t>Aeschistrasse 13</t>
  </si>
  <si>
    <t>CHE-319.319.986</t>
  </si>
  <si>
    <t>BT Wiese Holding AG</t>
  </si>
  <si>
    <t>c/o Altersresidenz zur Wiese AG</t>
  </si>
  <si>
    <t>CHE-347.347.521</t>
  </si>
  <si>
    <t>Smart-Sailor GmbH</t>
  </si>
  <si>
    <t>CHE-456.456.131</t>
  </si>
  <si>
    <t>Reinigungen Ziberi</t>
  </si>
  <si>
    <t>Bäreggstrasse 23</t>
  </si>
  <si>
    <t>CHE-322.322.893</t>
  </si>
  <si>
    <t>Drunger &amp; Drüber LINGERIE GmbH</t>
  </si>
  <si>
    <t>Bahnhofstrasse 17</t>
  </si>
  <si>
    <t>CHE-280.280.833</t>
  </si>
  <si>
    <t>M. Zbinden Holding GmbH</t>
  </si>
  <si>
    <t>Mühlestrasse 24</t>
  </si>
  <si>
    <t>CHE-183.183.893</t>
  </si>
  <si>
    <t>Aujla GmbH</t>
  </si>
  <si>
    <t>Lindenstrasse 6</t>
  </si>
  <si>
    <t>CHE-158.158.449</t>
  </si>
  <si>
    <t>Durrer Holding AG</t>
  </si>
  <si>
    <t>CHE-437.437.450</t>
  </si>
  <si>
    <t>Slishani - Kiti Fleischhandel</t>
  </si>
  <si>
    <t>Oltenstrasse 8</t>
  </si>
  <si>
    <t>CHE-151.151.195</t>
  </si>
  <si>
    <t>Strahm Glastech GmbH</t>
  </si>
  <si>
    <t>Gartenstrasse 6</t>
  </si>
  <si>
    <t>CHE-256.256.918</t>
  </si>
  <si>
    <t>Buchiackerweg 1</t>
  </si>
  <si>
    <t>CHE-433.433.146</t>
  </si>
  <si>
    <t>HAP Holding AG</t>
  </si>
  <si>
    <t>CHE-371.371.949</t>
  </si>
  <si>
    <t>SZ Real Estate Services GmbH</t>
  </si>
  <si>
    <t>Brauihof 10</t>
  </si>
  <si>
    <t>CHE-200.200.674</t>
  </si>
  <si>
    <t>Brand-Tech GmbH</t>
  </si>
  <si>
    <t>Föhrenweg 13</t>
  </si>
  <si>
    <t>CHE-382.382.681</t>
  </si>
  <si>
    <t>Flückiger Zeichnungsverlag AG</t>
  </si>
  <si>
    <t>Erlenmoos 73</t>
  </si>
  <si>
    <t>CHE-341.341.740</t>
  </si>
  <si>
    <t>CHE-302.302.037</t>
  </si>
  <si>
    <t>Reinmann Immobilien AG</t>
  </si>
  <si>
    <t>Kreuzfeldweg 22</t>
  </si>
  <si>
    <t>CHE-497.497.772</t>
  </si>
  <si>
    <t>Lack Tech GmbH</t>
  </si>
  <si>
    <t>Badmattstrasse 6b</t>
  </si>
  <si>
    <t>Grubenstrasse 1</t>
  </si>
  <si>
    <t>CHE-377.377.195</t>
  </si>
  <si>
    <t>Malerei SHALI</t>
  </si>
  <si>
    <t>Beundenstrasse 9</t>
  </si>
  <si>
    <t>CHE-172.172.008</t>
  </si>
  <si>
    <t>SWISS RENOVATION LTD, Stockport (UK) Zweigniederlassung Rohrbach</t>
  </si>
  <si>
    <t>Sagiloch 5</t>
  </si>
  <si>
    <t>CHE-408.408.532</t>
  </si>
  <si>
    <t>IMMOCREA GmbH</t>
  </si>
  <si>
    <t>CHE-446.446.975</t>
  </si>
  <si>
    <t>Lorenz Jaisli Architekturbüro GmbH</t>
  </si>
  <si>
    <t>Lehmgrube 7</t>
  </si>
  <si>
    <t>CHE-216.216.308</t>
  </si>
  <si>
    <t>Hazienda21 GmbH</t>
  </si>
  <si>
    <t>Erlenweg 21</t>
  </si>
  <si>
    <t>CHE-311.311.873</t>
  </si>
  <si>
    <t>christa minder fotografie gmbh</t>
  </si>
  <si>
    <t>Sagiloch 9</t>
  </si>
  <si>
    <t>CHE-378.378.132</t>
  </si>
  <si>
    <t>BBS Tech AG</t>
  </si>
  <si>
    <t>CHE-243.243.117</t>
  </si>
  <si>
    <t>Atelier Freesmeier</t>
  </si>
  <si>
    <t>CHE-386.386.717</t>
  </si>
  <si>
    <t>Bucher-Motorex Beteiligungen AG</t>
  </si>
  <si>
    <t>CHE-437.437.815</t>
  </si>
  <si>
    <t>Parmat AG</t>
  </si>
  <si>
    <t>Lotzwilstrasse 66</t>
  </si>
  <si>
    <t>CHE-455.455.906</t>
  </si>
  <si>
    <t>Schreiner Gerber beraten planen vollenden GmbH</t>
  </si>
  <si>
    <t>CHE-269.269.559</t>
  </si>
  <si>
    <t>märki staub Rechtsanwälte AG</t>
  </si>
  <si>
    <t>CHE-382.382.706</t>
  </si>
  <si>
    <t>Familie Thomi-Stiftung</t>
  </si>
  <si>
    <t>c/o Hermann und Ursula Thomi</t>
  </si>
  <si>
    <t>CHE-358.358.111</t>
  </si>
  <si>
    <t>Lanz-Anliker Holding AG</t>
  </si>
  <si>
    <t>CHE-231.231.054</t>
  </si>
  <si>
    <t>A + L Spenglerei GmbH</t>
  </si>
  <si>
    <t>Schulhausweg 3</t>
  </si>
  <si>
    <t>CHE-193.193.921</t>
  </si>
  <si>
    <t>Neurozentrum Oberaargau AG</t>
  </si>
  <si>
    <t>St. Urbanstrasse 22</t>
  </si>
  <si>
    <t>CHE-292.292.517</t>
  </si>
  <si>
    <t>Klangwerk Mittelland GmbH</t>
  </si>
  <si>
    <t>c/o Oberaargauische Musikschule Langenthal</t>
  </si>
  <si>
    <t>Turnhallenstrasse 22</t>
  </si>
  <si>
    <t>CHE-420.420.211</t>
  </si>
  <si>
    <t>papafin GmbH</t>
  </si>
  <si>
    <t>Bernstrasse 44</t>
  </si>
  <si>
    <t>CHE-268.268.487</t>
  </si>
  <si>
    <t>R&amp;L AG</t>
  </si>
  <si>
    <t>Dörfli 9</t>
  </si>
  <si>
    <t>CHE-349.349.818</t>
  </si>
  <si>
    <t>BGMH Consulting GmbH</t>
  </si>
  <si>
    <t>Gummenweg 4</t>
  </si>
  <si>
    <t>CHE-241.241.905</t>
  </si>
  <si>
    <t>Seker Gastro GmbH</t>
  </si>
  <si>
    <t>CHE-459.459.319</t>
  </si>
  <si>
    <t>nileu Holding AG</t>
  </si>
  <si>
    <t>CHE-245.245.902</t>
  </si>
  <si>
    <t>RoMo Holding AG, Rohrbach</t>
  </si>
  <si>
    <t>CHE-371.371.660</t>
  </si>
  <si>
    <t>MVG Holding AG</t>
  </si>
  <si>
    <t>CHE-390.390.001</t>
  </si>
  <si>
    <t>Sagru AG</t>
  </si>
  <si>
    <t>CHE-213.213.667</t>
  </si>
  <si>
    <t>Carrosserie Gangloff AG</t>
  </si>
  <si>
    <t>c/o Calag Carrosserie Langenthal AG</t>
  </si>
  <si>
    <t>CHE-330.330.787</t>
  </si>
  <si>
    <t>Fitte Tüte - Sandra Krone, Michael Kienzler</t>
  </si>
  <si>
    <t>Mättenbergstrasse 30</t>
  </si>
  <si>
    <t>CHE-211.211.058</t>
  </si>
  <si>
    <t>MalarSwiss Nadesapillai</t>
  </si>
  <si>
    <t>Toggiburgstrasse 62</t>
  </si>
  <si>
    <t>CHE-175.175.685</t>
  </si>
  <si>
    <t>HIA Hirschi Autoservice</t>
  </si>
  <si>
    <t>Bernstrasse 80</t>
  </si>
  <si>
    <t>CHE-146.146.105</t>
  </si>
  <si>
    <t>GR Solutions GmbH</t>
  </si>
  <si>
    <t>CHE-251.251.131</t>
  </si>
  <si>
    <t>Die Vierte Wand GmbH</t>
  </si>
  <si>
    <t>Marktgasse 28</t>
  </si>
  <si>
    <t>CHE-343.343.081</t>
  </si>
  <si>
    <t>Luzernstrasse 71b</t>
  </si>
  <si>
    <t>CHE-488.488.231</t>
  </si>
  <si>
    <t>MAS dental AG</t>
  </si>
  <si>
    <t>Gehrengasse 3</t>
  </si>
  <si>
    <t>CHE-410.410.807</t>
  </si>
  <si>
    <t>ASAG Asbest- und Schadstoffsanierung AG</t>
  </si>
  <si>
    <t>Murgenthalstrasse 70a</t>
  </si>
  <si>
    <t>CHE-334.334.167</t>
  </si>
  <si>
    <t>Studio Di Noi GmbH</t>
  </si>
  <si>
    <t>CHE-423.423.923</t>
  </si>
  <si>
    <t>supCAD GmbH</t>
  </si>
  <si>
    <t>Meiniswilstrasse 51</t>
  </si>
  <si>
    <t>CHE-267.267.745</t>
  </si>
  <si>
    <t>MACONAS AG</t>
  </si>
  <si>
    <t>Dorfgasse 71C</t>
  </si>
  <si>
    <t>CHE-206.206.635</t>
  </si>
  <si>
    <t>fräulein blume C. Sommer</t>
  </si>
  <si>
    <t>Bernstrasse 23</t>
  </si>
  <si>
    <t>CHE-486.486.144</t>
  </si>
  <si>
    <t>MS Bedachungen und Fassadenbau GmbH</t>
  </si>
  <si>
    <t>Scharnagelnstrasse 5</t>
  </si>
  <si>
    <t>Meisenweg 3</t>
  </si>
  <si>
    <t>CHE-153.153.484</t>
  </si>
  <si>
    <t>Rippd GmbH</t>
  </si>
  <si>
    <t>Zelgliweg 17A</t>
  </si>
  <si>
    <t>C329900</t>
  </si>
  <si>
    <t>Herstellung von sonstigen Erzeugnissen a. n. g.</t>
  </si>
  <si>
    <t>CHE-168.168.479</t>
  </si>
  <si>
    <t>Podologie Leu GmbH</t>
  </si>
  <si>
    <t>CHE-161.161.607</t>
  </si>
  <si>
    <t>Design Küchen GmbH</t>
  </si>
  <si>
    <t>Unterstrasse 8</t>
  </si>
  <si>
    <t>CHE-282.282.800</t>
  </si>
  <si>
    <t>CHE-253.253.799</t>
  </si>
  <si>
    <t>CHE-340.340.123</t>
  </si>
  <si>
    <t>EggerHof Digital, Inhaber Egger</t>
  </si>
  <si>
    <t>Mumenthalstrasse 73</t>
  </si>
  <si>
    <t>Langenthalstrasse 21</t>
  </si>
  <si>
    <t>G471103</t>
  </si>
  <si>
    <t>Kleine Supermärkte (400-999 m2)</t>
  </si>
  <si>
    <t>CHE-381.381.002</t>
  </si>
  <si>
    <t>CHE-226.226.146</t>
  </si>
  <si>
    <t>Staub Beteiligungen AG</t>
  </si>
  <si>
    <t>c/o Ulrich Staub, Buchhaltungs- und Treuhandbüro AG</t>
  </si>
  <si>
    <t>CHE-234.234.835</t>
  </si>
  <si>
    <t>ro-am GmbH</t>
  </si>
  <si>
    <t>CHE-378.378.214</t>
  </si>
  <si>
    <t>UOW Obrecht GmbH</t>
  </si>
  <si>
    <t>Baselstrasse 23c</t>
  </si>
  <si>
    <t>C329100</t>
  </si>
  <si>
    <t>Herstellung von Besen und Bürsten</t>
  </si>
  <si>
    <t>CHE-418.418.419</t>
  </si>
  <si>
    <t>KaWe Holding AG</t>
  </si>
  <si>
    <t>c/o WL Classic Cars AG</t>
  </si>
  <si>
    <t>CHE-279.279.579</t>
  </si>
  <si>
    <t>Läderach Lagersysteme Holding AG</t>
  </si>
  <si>
    <t>Gaswerkstrasse 54</t>
  </si>
  <si>
    <t>CHE-245.245.344</t>
  </si>
  <si>
    <t>DJ Ref JD GmbH</t>
  </si>
  <si>
    <t>Pöschen 10</t>
  </si>
  <si>
    <t>R900102</t>
  </si>
  <si>
    <t>Orchester, Chöre, Musiker</t>
  </si>
  <si>
    <t>CHE-416.416.941</t>
  </si>
  <si>
    <t>Accessoires Blitz GmbH</t>
  </si>
  <si>
    <t>Adlerweg 22</t>
  </si>
  <si>
    <t>CHE-108.108.543</t>
  </si>
  <si>
    <t>Multi Service Grafische Maschinen &amp; Produkte W. Moor</t>
  </si>
  <si>
    <t>Poststrasse 26</t>
  </si>
  <si>
    <t>R900301</t>
  </si>
  <si>
    <t>Selbstständige bildende Künstler</t>
  </si>
  <si>
    <t>CHE-159.159.002</t>
  </si>
  <si>
    <t>Bärtschi Forstservice GmbH</t>
  </si>
  <si>
    <t>Dorfstrasse 65</t>
  </si>
  <si>
    <t>A024000</t>
  </si>
  <si>
    <t>Erbringung von Dienstleistungen für Forstwirtschaft und Holzeinschlag</t>
  </si>
  <si>
    <t>CHE-381.381.571</t>
  </si>
  <si>
    <t>DWB Bau GmbH</t>
  </si>
  <si>
    <t>Obergasse 2</t>
  </si>
  <si>
    <t>CHE-378.378.141</t>
  </si>
  <si>
    <t>SLL Holding GmbH</t>
  </si>
  <si>
    <t>CHE-174.174.913</t>
  </si>
  <si>
    <t>Zahnarztpraxis Constance Mähler AG</t>
  </si>
  <si>
    <t>Oberdorfstrasse 3</t>
  </si>
  <si>
    <t>CHE-162.162.324</t>
  </si>
  <si>
    <t>Regio-Marktplatz Madiswil AG</t>
  </si>
  <si>
    <t>CHE-115.115.699</t>
  </si>
  <si>
    <t>PODOLOGIE SPV B. ZWEIFEL</t>
  </si>
  <si>
    <t>Wangenstrasse 10</t>
  </si>
  <si>
    <t>CHE-221.221.456</t>
  </si>
  <si>
    <t>EvTech GmbH</t>
  </si>
  <si>
    <t>Bernstrasse 52</t>
  </si>
  <si>
    <t>CHE-162.162.217</t>
  </si>
  <si>
    <t>Eggimann Metallbau AG</t>
  </si>
  <si>
    <t>Flurstrasse 44</t>
  </si>
  <si>
    <t>CHE-111.111.037</t>
  </si>
  <si>
    <t>Egli Örgeli</t>
  </si>
  <si>
    <t>Mösli 1</t>
  </si>
  <si>
    <t>CHE-165.165.817</t>
  </si>
  <si>
    <t>Production Excellence GmbH</t>
  </si>
  <si>
    <t>Krippenstrasse 3</t>
  </si>
  <si>
    <t>CHE-138.138.535</t>
  </si>
  <si>
    <t>KreisEckBeats - Leimgruber Georg</t>
  </si>
  <si>
    <t>Werkstrasse 17</t>
  </si>
  <si>
    <t>CHE-268.268.736</t>
  </si>
  <si>
    <t>Wirtshaus Rössli Irene Schnyder</t>
  </si>
  <si>
    <t>CHE-448.448.611</t>
  </si>
  <si>
    <t>Glas- und Gebäudeservice Düring</t>
  </si>
  <si>
    <t>CHE-435.435.121</t>
  </si>
  <si>
    <t>Braimi's Barbershop</t>
  </si>
  <si>
    <t>CHE-440.440.447</t>
  </si>
  <si>
    <t>andrebipp ag</t>
  </si>
  <si>
    <t>Anternstrasse 4</t>
  </si>
  <si>
    <t>CHE-169.169.752</t>
  </si>
  <si>
    <t>Max Zumstein Holding GmbH</t>
  </si>
  <si>
    <t>c/o Max Zumstein AG, Zimmerei und Renovationen</t>
  </si>
  <si>
    <t>CHE-319.319.205</t>
  </si>
  <si>
    <t>Garage 11, Wünschmann</t>
  </si>
  <si>
    <t>CHE-187.187.665</t>
  </si>
  <si>
    <t>Star Bollywood, Chouhan</t>
  </si>
  <si>
    <t>CHE-164.164.186</t>
  </si>
  <si>
    <t>WineBarrel GmbH</t>
  </si>
  <si>
    <t>Lagerstrasse 30</t>
  </si>
  <si>
    <t>CHE-351.351.420</t>
  </si>
  <si>
    <t>CHE-427.427.766</t>
  </si>
  <si>
    <t>Restaurant Roggengratbad Secilmis</t>
  </si>
  <si>
    <t>Roggengratbad 31</t>
  </si>
  <si>
    <t>CHE-391.391.139</t>
  </si>
  <si>
    <t>AIRPLUS Lüftung Klima Akustik GmbH</t>
  </si>
  <si>
    <t>Sonnhaldestrasse 57</t>
  </si>
  <si>
    <t>CHE-115.115.944</t>
  </si>
  <si>
    <t>dhg Reha Soccer / Eishockey Center GmbH</t>
  </si>
  <si>
    <t>Bleienbachstrasse 17</t>
  </si>
  <si>
    <t>R931900</t>
  </si>
  <si>
    <t>Erbringung von sonstigen Dienstleistungen des Sports</t>
  </si>
  <si>
    <t>CHE-493.493.798</t>
  </si>
  <si>
    <t>Steingasse 13</t>
  </si>
  <si>
    <t>CHE-493.493.615</t>
  </si>
  <si>
    <t>Spitex Oberaargau AG</t>
  </si>
  <si>
    <t>Murgenthalstrasse 14A</t>
  </si>
  <si>
    <t>CHE-495.495.211</t>
  </si>
  <si>
    <t>bar gelateria RIVA GmbH</t>
  </si>
  <si>
    <t>Seilereistrasse 1</t>
  </si>
  <si>
    <t>CHE-491.491.340</t>
  </si>
  <si>
    <t>L. Bajrami</t>
  </si>
  <si>
    <t>Wydenstrasse 9</t>
  </si>
  <si>
    <t>CHE-487.487.688</t>
  </si>
  <si>
    <t>Töpferei &amp; Blumen Steiner GmbH</t>
  </si>
  <si>
    <t>St. Urbanstrasse 16</t>
  </si>
  <si>
    <t>CHE-488.488.756</t>
  </si>
  <si>
    <t>Pilzland GmbH</t>
  </si>
  <si>
    <t>Eigen 5</t>
  </si>
  <si>
    <t>CHE-484.484.937</t>
  </si>
  <si>
    <t>David Müller GmbH</t>
  </si>
  <si>
    <t>CHE-485.485.499</t>
  </si>
  <si>
    <t>Sybille Geiser Coaching GmbH</t>
  </si>
  <si>
    <t>Falkenstrasse 15</t>
  </si>
  <si>
    <t>CHE-481.481.418</t>
  </si>
  <si>
    <t>CML Holding AG</t>
  </si>
  <si>
    <t>c/o Apotheke Dr. Lanz AG</t>
  </si>
  <si>
    <t>CHE-479.479.394</t>
  </si>
  <si>
    <t>David Fürst Logistik GmbH</t>
  </si>
  <si>
    <t>Vogelsangweg 12</t>
  </si>
  <si>
    <t>CHE-477.477.790</t>
  </si>
  <si>
    <t>TTA Holding AG</t>
  </si>
  <si>
    <t>c/o MINDER AG TORBAU</t>
  </si>
  <si>
    <t>CHE-461.461.405</t>
  </si>
  <si>
    <t>Jost Autoreparatur-Werkstätte</t>
  </si>
  <si>
    <t>Hubelackerweg 2</t>
  </si>
  <si>
    <t>CHE-461.461.352</t>
  </si>
  <si>
    <t>Mermoud-Leuenberger + CO.</t>
  </si>
  <si>
    <t>Oltenstrasse 1</t>
  </si>
  <si>
    <t>CHE-460.460.761</t>
  </si>
  <si>
    <t>amadental AG</t>
  </si>
  <si>
    <t>C325001</t>
  </si>
  <si>
    <t>Herstellung von medizinischen und zahnmedizinischen Apparaten und Materialien</t>
  </si>
  <si>
    <t>CHE-465.465.844</t>
  </si>
  <si>
    <t>FASHION STYLE LÜDI</t>
  </si>
  <si>
    <t>Marktgasse 31</t>
  </si>
  <si>
    <t>CHE-465.465.738</t>
  </si>
  <si>
    <t>Immoself GmbH</t>
  </si>
  <si>
    <t>Schützenstrasse 6</t>
  </si>
  <si>
    <t>CHE-462.462.263</t>
  </si>
  <si>
    <t>Rheumatologie Oberaargau AG</t>
  </si>
  <si>
    <t>Hasenmattstrasse 37</t>
  </si>
  <si>
    <t>CHE-460.460.104</t>
  </si>
  <si>
    <t>Stiftung Wasserland Oberaargau</t>
  </si>
  <si>
    <t>CHE-449.449.538</t>
  </si>
  <si>
    <t>Sümi Schreinerei GmbH</t>
  </si>
  <si>
    <t>CHE-455.455.172</t>
  </si>
  <si>
    <t>Obergasse 1</t>
  </si>
  <si>
    <t>CHE-448.448.914</t>
  </si>
  <si>
    <t>HIA Hirschi Autohandel</t>
  </si>
  <si>
    <t>Bernstrasse 86</t>
  </si>
  <si>
    <t>CHE-443.443.346</t>
  </si>
  <si>
    <t>Giovanni Dutto</t>
  </si>
  <si>
    <t>CHE-443.443.617</t>
  </si>
  <si>
    <t>Ahornstrasse 1</t>
  </si>
  <si>
    <t>CHE-430.430.374</t>
  </si>
  <si>
    <t>Rikli Sport Garage GmbH</t>
  </si>
  <si>
    <t>Wangenriedstrasse 1</t>
  </si>
  <si>
    <t>CHE-430.430.071</t>
  </si>
  <si>
    <t>Fiechter &amp; Lüthi GmbH Möbel und Möbelrestaurationen</t>
  </si>
  <si>
    <t>Hofmattstrasse 37a</t>
  </si>
  <si>
    <t>CHE-418.418.680</t>
  </si>
  <si>
    <t>Glur Verwaltungen GmbH</t>
  </si>
  <si>
    <t>Wiesenstrasse 24</t>
  </si>
  <si>
    <t>CHE-418.418.350</t>
  </si>
  <si>
    <t>Coiffeure ELI GmbH</t>
  </si>
  <si>
    <t>Spitalgasse 16</t>
  </si>
  <si>
    <t>CHE-427.427.918</t>
  </si>
  <si>
    <t>Boigordo Sàrl</t>
  </si>
  <si>
    <t>Alte Gjuchstrasse 9</t>
  </si>
  <si>
    <t>CHE-425.425.762</t>
  </si>
  <si>
    <t>Hasler + Glur Treuhand AG</t>
  </si>
  <si>
    <t>CHE-425.425.425</t>
  </si>
  <si>
    <t>tombotto gmbh</t>
  </si>
  <si>
    <t>Oeliweg 1</t>
  </si>
  <si>
    <t>CHE-416.416.798</t>
  </si>
  <si>
    <t>Vetsch Rail Consulting GmbH</t>
  </si>
  <si>
    <t>Südstrasse 5</t>
  </si>
  <si>
    <t>H522100</t>
  </si>
  <si>
    <t>Erbringung von sonstigen Dienstleistungen für den Landverkehr</t>
  </si>
  <si>
    <t>CHE-415.415.284</t>
  </si>
  <si>
    <t>Beciri Automobile GmbH</t>
  </si>
  <si>
    <t>Bernstrasse 3</t>
  </si>
  <si>
    <t>CHE-412.412.698</t>
  </si>
  <si>
    <t>CHWEB GmbH</t>
  </si>
  <si>
    <t>CHE-408.408.646</t>
  </si>
  <si>
    <t>Restaurant Kreuz Ursenbach GmbH</t>
  </si>
  <si>
    <t>Einschlagweg 6</t>
  </si>
  <si>
    <t>CHE-406.406.643</t>
  </si>
  <si>
    <t>Akredia AG</t>
  </si>
  <si>
    <t>CHE-403.403.181</t>
  </si>
  <si>
    <t>Hotel Krone Sieber</t>
  </si>
  <si>
    <t>CHE-403.403.691</t>
  </si>
  <si>
    <t>Forsthaus Immo AG</t>
  </si>
  <si>
    <t>c/o Rieder Immobilien AG</t>
  </si>
  <si>
    <t>Breitsteinweg 28</t>
  </si>
  <si>
    <t>CHE-399.399.504</t>
  </si>
  <si>
    <t>FREIRUM RÄSS</t>
  </si>
  <si>
    <t>Neumattweg 28</t>
  </si>
  <si>
    <t>CHE-396.396.675</t>
  </si>
  <si>
    <t>BeaCh Holding AG</t>
  </si>
  <si>
    <t>c/o F. Zulauf Messerschmiede + Werkzeugfabrikations AG</t>
  </si>
  <si>
    <t>Oberstrasse 25</t>
  </si>
  <si>
    <t>CHE-392.392.590</t>
  </si>
  <si>
    <t>Ali 10 GmbH</t>
  </si>
  <si>
    <t>Südstrasse 30</t>
  </si>
  <si>
    <t>CHE-385.385.035</t>
  </si>
  <si>
    <t>Gesundheits- und Entspannungspraxis Beat Amherd</t>
  </si>
  <si>
    <t>Feldägerten 7b</t>
  </si>
  <si>
    <t>CHE-382.382.072</t>
  </si>
  <si>
    <t>GERBER Engineering GmbH</t>
  </si>
  <si>
    <t>CHE-382.382.344</t>
  </si>
  <si>
    <t>Roth Schriften AG</t>
  </si>
  <si>
    <t>Buchlistrasse 26</t>
  </si>
  <si>
    <t>CHE-376.376.731</t>
  </si>
  <si>
    <t>TransparentBroker.ch AG</t>
  </si>
  <si>
    <t>CHE-374.374.009</t>
  </si>
  <si>
    <t>PelletChef GmbH</t>
  </si>
  <si>
    <t>Paul-Born-Weg 1</t>
  </si>
  <si>
    <t>C282100</t>
  </si>
  <si>
    <t>Herstellung von Öfen und Brennern</t>
  </si>
  <si>
    <t>CHE-373.373.751</t>
  </si>
  <si>
    <t>WARTE Immo AG</t>
  </si>
  <si>
    <t>c/o Ernst Wälchli-Gygax</t>
  </si>
  <si>
    <t>Baumgartenstrasse 48</t>
  </si>
  <si>
    <t>CHE-366.366.182</t>
  </si>
  <si>
    <t>Pegra Group AG</t>
  </si>
  <si>
    <t>c/o P. Graf AG</t>
  </si>
  <si>
    <t>Oberdorf 170a</t>
  </si>
  <si>
    <t>CHE-365.365.135</t>
  </si>
  <si>
    <t>Adam Orthopädie-Schuhtechnik AG</t>
  </si>
  <si>
    <t>C325002</t>
  </si>
  <si>
    <t>Herstellung von orthopädischen und prothetischen Erzeugnissen</t>
  </si>
  <si>
    <t>CHE-362.362.923</t>
  </si>
  <si>
    <t>DK Holzbau, Darius Karciauskas</t>
  </si>
  <si>
    <t>CHE-360.360.896</t>
  </si>
  <si>
    <t>Blumen Graf GmbH</t>
  </si>
  <si>
    <t>Bernstrasse 1</t>
  </si>
  <si>
    <t>CHE-355.355.122</t>
  </si>
  <si>
    <t>Dorflade Katrin Bigler</t>
  </si>
  <si>
    <t>CHE-355.355.549</t>
  </si>
  <si>
    <t>boss - edition</t>
  </si>
  <si>
    <t>Sonnhalde 162</t>
  </si>
  <si>
    <t>CHE-355.355.387</t>
  </si>
  <si>
    <t>Koch Holzbau AG</t>
  </si>
  <si>
    <t>Scharnagelnstrasse 25</t>
  </si>
  <si>
    <t>CHE-354.354.684</t>
  </si>
  <si>
    <t>GebäudeTech Rosner Daniel</t>
  </si>
  <si>
    <t>Grünauweg 10</t>
  </si>
  <si>
    <t>CHE-350.350.413</t>
  </si>
  <si>
    <t>The Enabler GmbH</t>
  </si>
  <si>
    <t>Krippenstrasse 22</t>
  </si>
  <si>
    <t>CHE-350.350.079</t>
  </si>
  <si>
    <t>EDF 52 AG</t>
  </si>
  <si>
    <t>CHE-349.349.319</t>
  </si>
  <si>
    <t>Schneider Karl</t>
  </si>
  <si>
    <t>CHE-420.420.915</t>
  </si>
  <si>
    <t>Spitex 60plus GmbH</t>
  </si>
  <si>
    <t>CHE-347.347.947</t>
  </si>
  <si>
    <t>Solino AG</t>
  </si>
  <si>
    <t>Bützbergstrasse 35</t>
  </si>
  <si>
    <t>CHE-347.347.386</t>
  </si>
  <si>
    <t>one X Services AG</t>
  </si>
  <si>
    <t>CHE-346.346.437</t>
  </si>
  <si>
    <t>architektur a gmbh</t>
  </si>
  <si>
    <t>Breitholzweg 31</t>
  </si>
  <si>
    <t>CHE-338.338.263</t>
  </si>
  <si>
    <t>Etter Gastro</t>
  </si>
  <si>
    <t>Steinackerweg 6</t>
  </si>
  <si>
    <t>CHE-338.338.839</t>
  </si>
  <si>
    <t>azBau ag</t>
  </si>
  <si>
    <t>CHE-336.336.342</t>
  </si>
  <si>
    <t>Will Automation GmbH</t>
  </si>
  <si>
    <t>Leinackerstrasse 3</t>
  </si>
  <si>
    <t>CHE-335.335.499</t>
  </si>
  <si>
    <t>Stanojevic, Auto DINE</t>
  </si>
  <si>
    <t>Mittelstrasse 11</t>
  </si>
  <si>
    <t>CHE-334.334.504</t>
  </si>
  <si>
    <t>Ryf Holzbau Bedachungen AG</t>
  </si>
  <si>
    <t>Stockackerweg 18</t>
  </si>
  <si>
    <t>CHE-333.333.057</t>
  </si>
  <si>
    <t>Salzmann IT GmbH</t>
  </si>
  <si>
    <t>Fabrikstrasse 7</t>
  </si>
  <si>
    <t>CHE-331.331.628</t>
  </si>
  <si>
    <t>AKA Holding GmbH</t>
  </si>
  <si>
    <t>c/o AKA-Leuchten AG</t>
  </si>
  <si>
    <t>CHE-331.331.890</t>
  </si>
  <si>
    <t>Vitapower AG</t>
  </si>
  <si>
    <t>CHE-329.329.929</t>
  </si>
  <si>
    <t>eDiscount GmbH</t>
  </si>
  <si>
    <t>CHE-327.327.858</t>
  </si>
  <si>
    <t>Zenger Beratungen</t>
  </si>
  <si>
    <t>CHE-306.306.341</t>
  </si>
  <si>
    <t>Di Falco Inka Nails, Feet &amp; more</t>
  </si>
  <si>
    <t>Obere Dürrmühlestrasse 3</t>
  </si>
  <si>
    <t>CHE-323.323.359</t>
  </si>
  <si>
    <t>Events &amp; Renovationen Tran</t>
  </si>
  <si>
    <t>Mühle 48A</t>
  </si>
  <si>
    <t>CHE-313.313.968</t>
  </si>
  <si>
    <t>MR-Technik GmbH</t>
  </si>
  <si>
    <t>CHE-311.311.963</t>
  </si>
  <si>
    <t>Dezentral R. Jensen</t>
  </si>
  <si>
    <t>Dorfstrasse 59</t>
  </si>
  <si>
    <t>CHE-309.309.593</t>
  </si>
  <si>
    <t>RDN Consult GmbH</t>
  </si>
  <si>
    <t>c/o Roberto und Regula Di Nino</t>
  </si>
  <si>
    <t>Zeieweg 7</t>
  </si>
  <si>
    <t>N803000</t>
  </si>
  <si>
    <t>Detekteien</t>
  </si>
  <si>
    <t>CHE-309.309.356</t>
  </si>
  <si>
    <t>FREIMA AG</t>
  </si>
  <si>
    <t>c/o Frutiger Tiefbau und Transport GmbH</t>
  </si>
  <si>
    <t>Grossmattstrasse 15</t>
  </si>
  <si>
    <t>CHE-309.309.692</t>
  </si>
  <si>
    <t>KINGcase Gerber &amp; Co.</t>
  </si>
  <si>
    <t>Bittwilstrasse 15</t>
  </si>
  <si>
    <t>Wangenstrasse 87</t>
  </si>
  <si>
    <t>CHE-302.302.089</t>
  </si>
  <si>
    <t>Hohl Haustechnik GmbH</t>
  </si>
  <si>
    <t>Bergstrasse 26</t>
  </si>
  <si>
    <t>CHE-365.365.774</t>
  </si>
  <si>
    <t>Prestige Hair&amp;Makeup GmbH</t>
  </si>
  <si>
    <t>Wiesenstrasse 5A</t>
  </si>
  <si>
    <t>CHE-297.297.214</t>
  </si>
  <si>
    <t>HB - TPD GmbH</t>
  </si>
  <si>
    <t>c/o AIRLA Aircraft-Service GmbH</t>
  </si>
  <si>
    <t>H522300</t>
  </si>
  <si>
    <t>Erbringung von sonstigen Dienstleistungen für die Luftfahrt</t>
  </si>
  <si>
    <t>CHE-297.297.764</t>
  </si>
  <si>
    <t>Cieltransport Utman</t>
  </si>
  <si>
    <t>Zelgliweg 3</t>
  </si>
  <si>
    <t>CHE-179.179.345</t>
  </si>
  <si>
    <t>Telci Konerz 42</t>
  </si>
  <si>
    <t>Zürichstrasse 50</t>
  </si>
  <si>
    <t>CHE-172.172.306</t>
  </si>
  <si>
    <t>Held Gartenpflege AG</t>
  </si>
  <si>
    <t>Hardstrasse 5</t>
  </si>
  <si>
    <t>CHE-216.216.721</t>
  </si>
  <si>
    <t>Kindersprachclub Langenthal Claudia von Arx</t>
  </si>
  <si>
    <t>Schulhausstrasse 2a</t>
  </si>
  <si>
    <t>CHE-143.143.497</t>
  </si>
  <si>
    <t>dpo meyer</t>
  </si>
  <si>
    <t>Bäregg-Strasse 4</t>
  </si>
  <si>
    <t>Riedmatt 39</t>
  </si>
  <si>
    <t>F433100</t>
  </si>
  <si>
    <t>Anbringen von Stuckaturen, Gipserei und Verputzerei</t>
  </si>
  <si>
    <t>CHE-105.105.543</t>
  </si>
  <si>
    <t>Boss Info AG</t>
  </si>
  <si>
    <t>K642001</t>
  </si>
  <si>
    <t>Finanzholdinggesellschaften</t>
  </si>
  <si>
    <t>C181301</t>
  </si>
  <si>
    <t>Erbringung von druckvorbereitenden Dienstleistungen</t>
  </si>
  <si>
    <t>Hauptstrasse 44</t>
  </si>
  <si>
    <t>CHE-107.107.132</t>
  </si>
  <si>
    <t>Pro Sound Beschallungstechnik D. Amsler</t>
  </si>
  <si>
    <t>Kleinfeldstrasse 17</t>
  </si>
  <si>
    <t>CHE-100.100.871</t>
  </si>
  <si>
    <t>Gasthof Kreuz, Marti + Krummenacher</t>
  </si>
  <si>
    <t>Bernstrasse 115</t>
  </si>
  <si>
    <t>CHE-112.112.403</t>
  </si>
  <si>
    <t>Fountain-Stiftung</t>
  </si>
  <si>
    <t>c/o Paul Martin Studer</t>
  </si>
  <si>
    <t>CHE-484.484.754</t>
  </si>
  <si>
    <t>CHE-101.101.610</t>
  </si>
  <si>
    <t>Landwirtschaftliche Genossenschaft Bannwil</t>
  </si>
  <si>
    <t>c/o Hofer Fritz</t>
  </si>
  <si>
    <t>Grabenstrasse 10</t>
  </si>
  <si>
    <t>G471901</t>
  </si>
  <si>
    <t>Warenhäuser</t>
  </si>
  <si>
    <t>CHE-112.112.175</t>
  </si>
  <si>
    <t>Wüthrich Sportartikel</t>
  </si>
  <si>
    <t>Dorf 2</t>
  </si>
  <si>
    <t>CHE-311.311.128</t>
  </si>
  <si>
    <t>MCPM Holding AG</t>
  </si>
  <si>
    <t>c/o Manfred Studer AG</t>
  </si>
  <si>
    <t>CHE-102.102.608</t>
  </si>
  <si>
    <t>Eggimann A.G.</t>
  </si>
  <si>
    <t>CHE-184.184.541</t>
  </si>
  <si>
    <t>Multimedia-Beratung Hodler</t>
  </si>
  <si>
    <t>Tannenweg 6</t>
  </si>
  <si>
    <t>CHE-113.113.188</t>
  </si>
  <si>
    <t>A. Stalder Landw. Lohnarbeiten</t>
  </si>
  <si>
    <t>Erlenmattstrasse 5</t>
  </si>
  <si>
    <t>CHE-218.218.466</t>
  </si>
  <si>
    <t>Stiftung Zihlmann Gertrud</t>
  </si>
  <si>
    <t>c/o Pierre Fivaz, Anwalt und Notar</t>
  </si>
  <si>
    <t>CHE-380.380.030</t>
  </si>
  <si>
    <t>BETAplus Bleienbach GmbH</t>
  </si>
  <si>
    <t>Lotzwilstrasse 2</t>
  </si>
  <si>
    <t>Q869001</t>
  </si>
  <si>
    <t>Psychotherapie und Psychologie</t>
  </si>
  <si>
    <t>CHE-114.114.543</t>
  </si>
  <si>
    <t>RuppKultur, Rupp Fischer &amp; Co. Kulturmanagement</t>
  </si>
  <si>
    <t>Bergstrasse 4</t>
  </si>
  <si>
    <t>CHE-226.226.262</t>
  </si>
  <si>
    <t>HIS Beteiligungen AG</t>
  </si>
  <si>
    <t>CHE-114.114.938</t>
  </si>
  <si>
    <t>Rest. Rebstock Inh. S. Aeschlimann</t>
  </si>
  <si>
    <t>CHE-108.108.833</t>
  </si>
  <si>
    <t>Metamatics GmbH</t>
  </si>
  <si>
    <t>Deitingenstrasse 8</t>
  </si>
  <si>
    <t>CHE-112.112.226</t>
  </si>
  <si>
    <t>Auto-Center H.R. Flückiger AG</t>
  </si>
  <si>
    <t>Langenthalstrasse 61</t>
  </si>
  <si>
    <t>CHE-108.108.143</t>
  </si>
  <si>
    <t>Stiftung zur Förderung der Berufe im Gesundheitswesen im Oberaargau-Emmental</t>
  </si>
  <si>
    <t>c/o Notariat Freudiger + Ruckstuhl</t>
  </si>
  <si>
    <t>CHE-110.110.396</t>
  </si>
  <si>
    <t>Ernst Häusermann "zum Gartemaa"</t>
  </si>
  <si>
    <t>Haldenstrasse 42</t>
  </si>
  <si>
    <t>CHE-108.108.821</t>
  </si>
  <si>
    <t>Schreinerei Schönmann</t>
  </si>
  <si>
    <t>Roggenweg 9</t>
  </si>
  <si>
    <t>CHE-109.109.256</t>
  </si>
  <si>
    <t>Müller + Partner Immobilien AG Langenthal</t>
  </si>
  <si>
    <t>CHE-105.105.848</t>
  </si>
  <si>
    <t>Walter Mathys-Zaugg</t>
  </si>
  <si>
    <t>c/o Gasthof Rössli</t>
  </si>
  <si>
    <t>CHE-110.110.949</t>
  </si>
  <si>
    <t>Stiftung WBM</t>
  </si>
  <si>
    <t>Unterdorfstrasse 62</t>
  </si>
  <si>
    <t>Q881000</t>
  </si>
  <si>
    <t>Soziale Betreuung älterer Menschen und Behinderter</t>
  </si>
  <si>
    <t>c/o Gfeller + Partner AG</t>
  </si>
  <si>
    <t>CHE-106.106.790</t>
  </si>
  <si>
    <t>Regalino AG</t>
  </si>
  <si>
    <t>CHE-115.115.080</t>
  </si>
  <si>
    <t>fivetool GmbH</t>
  </si>
  <si>
    <t>CHE-105.105.038</t>
  </si>
  <si>
    <t>Scheidegg Alterszentrum</t>
  </si>
  <si>
    <t>Bernstrasse 45</t>
  </si>
  <si>
    <t>CHE-109.109.542</t>
  </si>
  <si>
    <t>Ryser Montagen GmbH</t>
  </si>
  <si>
    <t>c/o Joachim Uebersax LEXA-Wohnmobile</t>
  </si>
  <si>
    <t>Bern-Zuerichstrasse 49 B</t>
  </si>
  <si>
    <t>Puls GmbH</t>
  </si>
  <si>
    <t>Muehleweg 11</t>
  </si>
  <si>
    <t>MH-Design Schreinerei GmbH</t>
  </si>
  <si>
    <t>Zürichstrasse 34</t>
  </si>
  <si>
    <t>CHE-441.441.861</t>
  </si>
  <si>
    <t>Future Plants AG</t>
  </si>
  <si>
    <t>c/o Lars Sommer</t>
  </si>
  <si>
    <t>Mühlebergstrasse 33</t>
  </si>
  <si>
    <t>CHE-107.107.693</t>
  </si>
  <si>
    <t>Flück Andreas</t>
  </si>
  <si>
    <t>Langenthalstrasse 20</t>
  </si>
  <si>
    <t>CHE-107.107.913</t>
  </si>
  <si>
    <t>Coiffure Creative, Anita Oetterli</t>
  </si>
  <si>
    <t>Zelgligasse 11</t>
  </si>
  <si>
    <t>F431300</t>
  </si>
  <si>
    <t>Test- und Suchbohrung</t>
  </si>
  <si>
    <t>CHE-314.314.203</t>
  </si>
  <si>
    <t>VAT and TAX professionals gmbh</t>
  </si>
  <si>
    <t>CHE-104.104.116</t>
  </si>
  <si>
    <t>Käser AG, Schreinerei &amp; Küchenbau</t>
  </si>
  <si>
    <t>Walterswil</t>
  </si>
  <si>
    <t>C310200</t>
  </si>
  <si>
    <t>Herstellung von Küchen- und Badzimmermöbeln (ohne Einbau)</t>
  </si>
  <si>
    <t>CHE-408.408.150</t>
  </si>
  <si>
    <t>BDO AG</t>
  </si>
  <si>
    <t>CHE-109.109.949</t>
  </si>
  <si>
    <t>Berger Garage</t>
  </si>
  <si>
    <t>CHE-360.360.539</t>
  </si>
  <si>
    <t>Beck Holding AG</t>
  </si>
  <si>
    <t>c/o Beck &amp; Jäggi Gerüstbau AG</t>
  </si>
  <si>
    <t>CHE-104.104.234</t>
  </si>
  <si>
    <t>eMarkt Consulting Dr. Beat D. Wyser</t>
  </si>
  <si>
    <t>CHE-105.105.083</t>
  </si>
  <si>
    <t>Würgler Auto</t>
  </si>
  <si>
    <t>CHE-293.293.384</t>
  </si>
  <si>
    <t>arlusi ag</t>
  </si>
  <si>
    <t>Mittelstrasse 7</t>
  </si>
  <si>
    <t>CHE-306.306.528</t>
  </si>
  <si>
    <t>Zilan GmbH</t>
  </si>
  <si>
    <t>Meiniswilstrasse 2</t>
  </si>
  <si>
    <t>CHE-109.109.282</t>
  </si>
  <si>
    <t>FH Finance &amp; Home GmbH</t>
  </si>
  <si>
    <t>Melchnaustrasse 12</t>
  </si>
  <si>
    <t>c/o Alice Haller-Berger</t>
  </si>
  <si>
    <t>Mühlebachstrasse 9</t>
  </si>
  <si>
    <t>CHE-107.107.331</t>
  </si>
  <si>
    <t>River Fashion-Line, Daniel Meier</t>
  </si>
  <si>
    <t>Klebenstrasse 57</t>
  </si>
  <si>
    <t>C133000</t>
  </si>
  <si>
    <t>Veredlung von Textilien und Bekleidung</t>
  </si>
  <si>
    <t>CHE-109.109.602</t>
  </si>
  <si>
    <t>inklusia</t>
  </si>
  <si>
    <t>CHE-108.108.135</t>
  </si>
  <si>
    <t>Schreinerei Steiner</t>
  </si>
  <si>
    <t>Friedihaus 29</t>
  </si>
  <si>
    <t>CHE-107.107.102</t>
  </si>
  <si>
    <t>Baugeschäft Heinz Wagner</t>
  </si>
  <si>
    <t>Hofuhrenstrasse 28</t>
  </si>
  <si>
    <t>CHE-463.463.115</t>
  </si>
  <si>
    <t>Staub Haus AG</t>
  </si>
  <si>
    <t>Winkelstrasse 24</t>
  </si>
  <si>
    <t>CHE-111.111.339</t>
  </si>
  <si>
    <t>Aeschlimann Architektur</t>
  </si>
  <si>
    <t>Huttwilstrasse 12</t>
  </si>
  <si>
    <t>Carrosserie Schneider</t>
  </si>
  <si>
    <t>CHE-107.107.863</t>
  </si>
  <si>
    <t>Bruno Hug</t>
  </si>
  <si>
    <t>Brennofenstrasse 16</t>
  </si>
  <si>
    <t>CHE-110.110.160</t>
  </si>
  <si>
    <t>Druckerei Fankhauser</t>
  </si>
  <si>
    <t>CHE-109.109.103</t>
  </si>
  <si>
    <t>Nyffenegger</t>
  </si>
  <si>
    <t>CHE-376.376.046</t>
  </si>
  <si>
    <t>Elektro Lechthaler</t>
  </si>
  <si>
    <t>Lagerstrasse 12</t>
  </si>
  <si>
    <t>CHE-299.299.746</t>
  </si>
  <si>
    <t>Martig Plattenbeläge</t>
  </si>
  <si>
    <t>Hofweg 5</t>
  </si>
  <si>
    <t>CHE-108.108.197</t>
  </si>
  <si>
    <t>M. Bühler &amp; Co.</t>
  </si>
  <si>
    <t>Matte 75 f</t>
  </si>
  <si>
    <t>CHE-107.107.924</t>
  </si>
  <si>
    <t>Carrosserie Schärer</t>
  </si>
  <si>
    <t>Buchsistrasse 28</t>
  </si>
  <si>
    <t>CHE-101.101.328</t>
  </si>
  <si>
    <t>Ulrich Walther</t>
  </si>
  <si>
    <t>Eriswilstrasse 44</t>
  </si>
  <si>
    <t>CHE-102.102.648</t>
  </si>
  <si>
    <t>Dropa Fries AG</t>
  </si>
  <si>
    <t>CHE-115.115.177</t>
  </si>
  <si>
    <t>Winistörfer Winformatik GmbH</t>
  </si>
  <si>
    <t>Oberholzweg 12</t>
  </si>
  <si>
    <t>CHE-114.114.626</t>
  </si>
  <si>
    <t>Kinderhut, Trägerverein für familienergänzende Kinderbetreuung Herzogenbuchsee und Umgebung</t>
  </si>
  <si>
    <t>Q889100</t>
  </si>
  <si>
    <t>Tagesbetreuung von Kindern</t>
  </si>
  <si>
    <t>CHE-209.209.030</t>
  </si>
  <si>
    <t>konzept 49 grafik design Daniela Leibundgut</t>
  </si>
  <si>
    <t>CHE-109.109.366</t>
  </si>
  <si>
    <t>Meyer Bau AG, Roggwil</t>
  </si>
  <si>
    <t>Hintergasse 21</t>
  </si>
  <si>
    <t>CHE-108.108.110</t>
  </si>
  <si>
    <t>Architekturbüro Kurth</t>
  </si>
  <si>
    <t>Dorf 12</t>
  </si>
  <si>
    <t>CHE-204.204.136</t>
  </si>
  <si>
    <t>andregygli.ch Gygli</t>
  </si>
  <si>
    <t>Ahornstrasse 18</t>
  </si>
  <si>
    <t>CHE-153.153.801</t>
  </si>
  <si>
    <t>Hundehorte.ch Céline Rüegsegger</t>
  </si>
  <si>
    <t>Wolfisbergstrasse 1</t>
  </si>
  <si>
    <t>CHE-204.204.343</t>
  </si>
  <si>
    <t>Huber Immobilien AG</t>
  </si>
  <si>
    <t>c/o René Huber</t>
  </si>
  <si>
    <t>Grundackerweg 6</t>
  </si>
  <si>
    <t>CHE-191.191.383</t>
  </si>
  <si>
    <t>Treuhandbüro Geissbühler</t>
  </si>
  <si>
    <t>CHE-197.197.906</t>
  </si>
  <si>
    <t>peter egger .ch</t>
  </si>
  <si>
    <t>CHE-110.110.674</t>
  </si>
  <si>
    <t>Ernst &amp; Nyffeler, Architekturbüro</t>
  </si>
  <si>
    <t>CHE-108.108.540</t>
  </si>
  <si>
    <t>Fuhrer Consulting</t>
  </si>
  <si>
    <t>Brühlstrasse 8</t>
  </si>
  <si>
    <t>CHE-107.107.025</t>
  </si>
  <si>
    <t>United Velos D. Schaad</t>
  </si>
  <si>
    <t>CHE-106.106.724</t>
  </si>
  <si>
    <t>Spenglerei Grogg</t>
  </si>
  <si>
    <t>CHE-487.487.741</t>
  </si>
  <si>
    <t>Electra.aero Schweiz GmbH</t>
  </si>
  <si>
    <t>CHE-114.114.075</t>
  </si>
  <si>
    <t>Bildungsmanagement Heidi Abt GmbH</t>
  </si>
  <si>
    <t>c/o Heidi Abt-Graber</t>
  </si>
  <si>
    <t>Madiswilstrasse 14</t>
  </si>
  <si>
    <t>CHE-100.100.884</t>
  </si>
  <si>
    <t>Güntensperger</t>
  </si>
  <si>
    <t>CHE-105.105.950</t>
  </si>
  <si>
    <t>Helmut Staudacher, Landtechnik und Reparatur-Werkstatt</t>
  </si>
  <si>
    <t>Untergasse 21</t>
  </si>
  <si>
    <t>CHE-108.108.654</t>
  </si>
  <si>
    <t>Christen Treuhand</t>
  </si>
  <si>
    <t>Thoerigenstrasse 36</t>
  </si>
  <si>
    <t>CHE-106.106.518</t>
  </si>
  <si>
    <t>Velorama Daniel Buchli</t>
  </si>
  <si>
    <t>Spitalgasse 3</t>
  </si>
  <si>
    <t>CHE-197.197.248</t>
  </si>
  <si>
    <t>Bäckerei Confiserie Glacerie Lienhart AG</t>
  </si>
  <si>
    <t>Brunnenplatz 12</t>
  </si>
  <si>
    <t>CHE-113.113.419</t>
  </si>
  <si>
    <t>Carmenna GmbH</t>
  </si>
  <si>
    <t>Leinackerstrasse 27</t>
  </si>
  <si>
    <t>CHE-109.109.415</t>
  </si>
  <si>
    <t>Jaggi &amp; Partner</t>
  </si>
  <si>
    <t>Juraweg 14</t>
  </si>
  <si>
    <t>CHE-105.105.723</t>
  </si>
  <si>
    <t>LC Lappert Consulting</t>
  </si>
  <si>
    <t>Dorfgasse 90 B</t>
  </si>
  <si>
    <t>G461900</t>
  </si>
  <si>
    <t>Handelsvermittlung von Waren ohne ausgeprägten Schwerpunkt</t>
  </si>
  <si>
    <t>CHE-345.345.019</t>
  </si>
  <si>
    <t>Grylka Finanz Service</t>
  </si>
  <si>
    <t>CHE-103.103.546</t>
  </si>
  <si>
    <t>Elektro Bärtschi</t>
  </si>
  <si>
    <t>Postweg 2</t>
  </si>
  <si>
    <t>CHE-101.101.761</t>
  </si>
  <si>
    <t>Beat Mettler</t>
  </si>
  <si>
    <t>Schulhausstrasse 19</t>
  </si>
  <si>
    <t>CHE-112.112.599</t>
  </si>
  <si>
    <t>Terrarienbau Adrian Rieser</t>
  </si>
  <si>
    <t>CHE-249.249.592</t>
  </si>
  <si>
    <t>Blumen Grütter Röthenbach</t>
  </si>
  <si>
    <t>Wangenstrasse 18</t>
  </si>
  <si>
    <t>CHE-110.110.956</t>
  </si>
  <si>
    <t>Moser AG Thörigen</t>
  </si>
  <si>
    <t>CHE-357.357.373</t>
  </si>
  <si>
    <t>Die Showrösterei AG</t>
  </si>
  <si>
    <t>C108300</t>
  </si>
  <si>
    <t>Verarbeitung von Kaffee und Tee, Herstellung von Kaffee-Ersatz</t>
  </si>
  <si>
    <t>CHE-107.107.679</t>
  </si>
  <si>
    <t>Urs Dubach</t>
  </si>
  <si>
    <t>Luzernstrasse 10</t>
  </si>
  <si>
    <t>CHE-112.112.366</t>
  </si>
  <si>
    <t>Beat Jordi Schleifservice</t>
  </si>
  <si>
    <t>Rumiweg 39 A</t>
  </si>
  <si>
    <t>CHE-293.293.770</t>
  </si>
  <si>
    <t>Bösiger Bio AG</t>
  </si>
  <si>
    <t>Rotboden 10</t>
  </si>
  <si>
    <t>CHE-243.243.297</t>
  </si>
  <si>
    <t>CHE-284.284.353</t>
  </si>
  <si>
    <t>Glauser Lohnunternehmen</t>
  </si>
  <si>
    <t>Hermandingen 71</t>
  </si>
  <si>
    <t>A014600</t>
  </si>
  <si>
    <t>Haltung von Schweinen</t>
  </si>
  <si>
    <t>CHE-238.238.990</t>
  </si>
  <si>
    <t>Automalerei Duppenthaler, Inh. Günter Erinmez</t>
  </si>
  <si>
    <t>Murmeliweg 4</t>
  </si>
  <si>
    <t>CHE-111.111.348</t>
  </si>
  <si>
    <t>ISCHI MALERGESCHÄFT</t>
  </si>
  <si>
    <t>Nelkenweg 8</t>
  </si>
  <si>
    <t>CHE-109.109.095</t>
  </si>
  <si>
    <t>LIFESTYLE Fitness AG</t>
  </si>
  <si>
    <t>CHE-110.110.174</t>
  </si>
  <si>
    <t>kreiseins mühlemann</t>
  </si>
  <si>
    <t>Farbgasse 47</t>
  </si>
  <si>
    <t>CHE-109.109.649</t>
  </si>
  <si>
    <t>Blumen Schenk</t>
  </si>
  <si>
    <t>Waldhofstrasse 7</t>
  </si>
  <si>
    <t>CHE-360.360.559</t>
  </si>
  <si>
    <t>Simon Cars</t>
  </si>
  <si>
    <t>Ringstrasse 60A</t>
  </si>
  <si>
    <t>CHE-237.237.141</t>
  </si>
  <si>
    <t>Klar Webagentur GmbH</t>
  </si>
  <si>
    <t>CHE-110.110.012</t>
  </si>
  <si>
    <t>Samuel Kuert Stiftung</t>
  </si>
  <si>
    <t>c/o Burgerschreiberei</t>
  </si>
  <si>
    <t>CHE-108.108.933</t>
  </si>
  <si>
    <t>EPLA Automation GmbH</t>
  </si>
  <si>
    <t>Bleichestrasse 41</t>
  </si>
  <si>
    <t>CHE-107.107.348</t>
  </si>
  <si>
    <t>Domast AG</t>
  </si>
  <si>
    <t>Bleienbachstrasse 32</t>
  </si>
  <si>
    <t>CHE-106.106.512</t>
  </si>
  <si>
    <t>Samuel Wyssen</t>
  </si>
  <si>
    <t>Bahnhofstrasse 67</t>
  </si>
  <si>
    <t>CHE-495.495.999</t>
  </si>
  <si>
    <t>c/o Müller + Partner, dipl. Architekten HTL/STV AG</t>
  </si>
  <si>
    <t>CHE-114.114.460</t>
  </si>
  <si>
    <t>Anema GmbH</t>
  </si>
  <si>
    <t>Dennliweg 76a</t>
  </si>
  <si>
    <t>CHE-427.427.135</t>
  </si>
  <si>
    <t>Ruf Steuerungstechnik GmbH</t>
  </si>
  <si>
    <t>Habcherig 1F</t>
  </si>
  <si>
    <t>Bleicheweg 2</t>
  </si>
  <si>
    <t>c/o Prof. Dr. iur. Peter Ruf AG</t>
  </si>
  <si>
    <t>Brauihof 2</t>
  </si>
  <si>
    <t>CHE-103.103.918</t>
  </si>
  <si>
    <t>Burgunder Architekturbüro</t>
  </si>
  <si>
    <t>CHE-308.308.905</t>
  </si>
  <si>
    <t>Fleischwerkstatt Röthenbach AG</t>
  </si>
  <si>
    <t>Kreuzfeldweg 18</t>
  </si>
  <si>
    <t>CHE-346.346.363</t>
  </si>
  <si>
    <t>Martin Stauffer Rechtsberatungen AG</t>
  </si>
  <si>
    <t>Zieglerstrasse 7</t>
  </si>
  <si>
    <t>CHE-109.109.044</t>
  </si>
  <si>
    <t>haldimann + schärer ag</t>
  </si>
  <si>
    <t>CHE-114.114.097</t>
  </si>
  <si>
    <t>Marti Montagen</t>
  </si>
  <si>
    <t>Kindergartenweg 3</t>
  </si>
  <si>
    <t>CHE-453.453.515</t>
  </si>
  <si>
    <t>RIGGENBACH</t>
  </si>
  <si>
    <t>Steinackerweg 1</t>
  </si>
  <si>
    <t>CHE-113.113.367</t>
  </si>
  <si>
    <t>MS Immobilien Maja Scheidegger</t>
  </si>
  <si>
    <t>Kilchweg 1b</t>
  </si>
  <si>
    <t>CHE-107.107.521</t>
  </si>
  <si>
    <t>APK Walter Urech Dialogmarketing</t>
  </si>
  <si>
    <t>Alpenstrasse 7</t>
  </si>
  <si>
    <t>CHE-104.104.203</t>
  </si>
  <si>
    <t>CHE-112.112.730</t>
  </si>
  <si>
    <t>HEGI Innendekorationen</t>
  </si>
  <si>
    <t>G475300</t>
  </si>
  <si>
    <t>Detailhandel mit Vorhängen, Teppichen, Fussbodenbelägen und Tapeten</t>
  </si>
  <si>
    <t>CHE-104.104.198</t>
  </si>
  <si>
    <t>Glasschmitte, Regula Kobel</t>
  </si>
  <si>
    <t>Mühlebergstrasse 28</t>
  </si>
  <si>
    <t>C231900</t>
  </si>
  <si>
    <t>Herstellung, Veredlung und Bearbeitung von sonstigem Glas einschliesslich technischen Glaswaren</t>
  </si>
  <si>
    <t>CHE-106.106.558</t>
  </si>
  <si>
    <t>Manumech Roger Käppeli</t>
  </si>
  <si>
    <t>Beundenstrasse 20</t>
  </si>
  <si>
    <t>CHE-105.105.609</t>
  </si>
  <si>
    <t>Andreas Bögli</t>
  </si>
  <si>
    <t>Kirchfeldstrasse 20</t>
  </si>
  <si>
    <t>CHE-103.103.516</t>
  </si>
  <si>
    <t>Niederhauser-Fässler</t>
  </si>
  <si>
    <t>CHE-115.115.076</t>
  </si>
  <si>
    <t>spitextra gmbh</t>
  </si>
  <si>
    <t>CHE-112.112.983</t>
  </si>
  <si>
    <t>Frey Metzgerei</t>
  </si>
  <si>
    <t>CHE-104.104.050</t>
  </si>
  <si>
    <t>Hairstudio Annegret, Anna Margareta Obi-Ryser</t>
  </si>
  <si>
    <t>Steingasse 12a</t>
  </si>
  <si>
    <t>CHE-103.103.892</t>
  </si>
  <si>
    <t>Mulser &amp; Co, Inhaber Anton Mulser</t>
  </si>
  <si>
    <t>Jurastrasse 32</t>
  </si>
  <si>
    <t>Ferggerweg 5</t>
  </si>
  <si>
    <t>c/o Neurozentrum Oberaargau AG</t>
  </si>
  <si>
    <t>CHE-101.101.283</t>
  </si>
  <si>
    <t>Elektro Werner</t>
  </si>
  <si>
    <t>CHE-409.409.428</t>
  </si>
  <si>
    <t>HM Marti AG, Zweigniederlassung Niederönz</t>
  </si>
  <si>
    <t>Poststrasse 10</t>
  </si>
  <si>
    <t>CHE-113.113.765</t>
  </si>
  <si>
    <t>LogoCom D. Collet</t>
  </si>
  <si>
    <t>Mattenweg 20</t>
  </si>
  <si>
    <t>CHE-114.114.477</t>
  </si>
  <si>
    <t>Corporate Action Ventures AG</t>
  </si>
  <si>
    <t>c/o M. und J.R. Cornillie</t>
  </si>
  <si>
    <t>Kornstrasse 9</t>
  </si>
  <si>
    <t>CHE-112.112.564</t>
  </si>
  <si>
    <t>Swiss Schneestopp AG</t>
  </si>
  <si>
    <t>Bahnstrasse 3</t>
  </si>
  <si>
    <t>CHE-115.115.714</t>
  </si>
  <si>
    <t>Ralf Schadt Pflästerungen GmbH</t>
  </si>
  <si>
    <t>CHE-165.165.440</t>
  </si>
  <si>
    <t>MiFu Holding AG</t>
  </si>
  <si>
    <t>c/o Lang Heizungen AG</t>
  </si>
  <si>
    <t>Industriestrasse 11</t>
  </si>
  <si>
    <t>CHE-264.264.333</t>
  </si>
  <si>
    <t>Elmar Röhner AG</t>
  </si>
  <si>
    <t>Mittelstrasse 2</t>
  </si>
  <si>
    <t>CHE-114.114.398</t>
  </si>
  <si>
    <t>Webrealisierung GmbH</t>
  </si>
  <si>
    <t>CHE-113.113.001</t>
  </si>
  <si>
    <t>Flückiger Kaminfeger</t>
  </si>
  <si>
    <t>Spitalgasse 21</t>
  </si>
  <si>
    <t>CHE-112.112.255</t>
  </si>
  <si>
    <t>HO2 GmbH</t>
  </si>
  <si>
    <t>CHE-261.261.099</t>
  </si>
  <si>
    <t>CEMLLING Kölliker</t>
  </si>
  <si>
    <t>CHE-178.178.275</t>
  </si>
  <si>
    <t>Baumvision Christian Rutschmann</t>
  </si>
  <si>
    <t>Längacherstrasse 17</t>
  </si>
  <si>
    <t>P855901</t>
  </si>
  <si>
    <t>Sprachunterricht</t>
  </si>
  <si>
    <t>CHE-115.115.319</t>
  </si>
  <si>
    <t>Delphin Schule für Bewegung, Karin Flury</t>
  </si>
  <si>
    <t>Blumenstrasse 37</t>
  </si>
  <si>
    <t>CHE-107.107.570</t>
  </si>
  <si>
    <t>Kreuchi Auto AG</t>
  </si>
  <si>
    <t>Aengistr. 20</t>
  </si>
  <si>
    <t>CHE-115.115.976</t>
  </si>
  <si>
    <t>Hundepower Flück</t>
  </si>
  <si>
    <t>Schmalzgrubenweg 1</t>
  </si>
  <si>
    <t>CHE-115.115.248</t>
  </si>
  <si>
    <t>Michael Blanck Consulting</t>
  </si>
  <si>
    <t>Baumgartenstrasse 58</t>
  </si>
  <si>
    <t>CHE-112.112.390</t>
  </si>
  <si>
    <t>Agox GmbH</t>
  </si>
  <si>
    <t>Hauptstrasse 17</t>
  </si>
  <si>
    <t>CHE-113.113.005</t>
  </si>
  <si>
    <t>Beni Reali GmbH</t>
  </si>
  <si>
    <t>CHE-350.350.147</t>
  </si>
  <si>
    <t>Gschänk-Chratte, Tanja Polling-Moser</t>
  </si>
  <si>
    <t>Wuhrgasse 2</t>
  </si>
  <si>
    <t>CHE-162.162.520</t>
  </si>
  <si>
    <t>Trunz Luftkanalsysteme AG</t>
  </si>
  <si>
    <t>Murgenthalstrasse 45</t>
  </si>
  <si>
    <t>C282500</t>
  </si>
  <si>
    <t>Herstellung von kälte- und lufttechnischen Erzeugnissen, nicht für den Haushalt</t>
  </si>
  <si>
    <t>CHE-198.198.418</t>
  </si>
  <si>
    <t>Sutter Bauunternehmung AG</t>
  </si>
  <si>
    <t>Maettenbergstrasse 12 a</t>
  </si>
  <si>
    <t>CHE-209.209.707</t>
  </si>
  <si>
    <t>Addea &amp; Partner Beratungen</t>
  </si>
  <si>
    <t>Nelkenweg 4</t>
  </si>
  <si>
    <t>CHE-113.113.306</t>
  </si>
  <si>
    <t>alor tw gmbh</t>
  </si>
  <si>
    <t>Dorfstrasse 24</t>
  </si>
  <si>
    <t>CHE-114.114.788</t>
  </si>
  <si>
    <t>Luhacon AG</t>
  </si>
  <si>
    <t>Eigerweg 18</t>
  </si>
  <si>
    <t>CHE-110.110.169</t>
  </si>
  <si>
    <t>ATTILUM Immobilien AG</t>
  </si>
  <si>
    <t>CHE-108.108.923</t>
  </si>
  <si>
    <t>briefbox Rutschmann</t>
  </si>
  <si>
    <t>Ahornstrasse 46</t>
  </si>
  <si>
    <t>CHE-108.108.682</t>
  </si>
  <si>
    <t>Fotografica Rolf Sutter</t>
  </si>
  <si>
    <t>CHE-110.110.081</t>
  </si>
  <si>
    <t>Balance Boardshop GmbH</t>
  </si>
  <si>
    <t>CHE-106.106.263</t>
  </si>
  <si>
    <t>Schmuck laube Christian Stiep</t>
  </si>
  <si>
    <t>CHE-382.382.517</t>
  </si>
  <si>
    <t>LeoBE</t>
  </si>
  <si>
    <t>Nyffel 14</t>
  </si>
  <si>
    <t>CHE-103.103.836</t>
  </si>
  <si>
    <t>ABOBA Roger Knüsel</t>
  </si>
  <si>
    <t>Kirchweg 2</t>
  </si>
  <si>
    <t>CHE-114.114.718</t>
  </si>
  <si>
    <t>Bäckerei-Konditorei Esther Reinbold-Friedli</t>
  </si>
  <si>
    <t>Hauptstrasse 296 A</t>
  </si>
  <si>
    <t>CHE-114.114.575</t>
  </si>
  <si>
    <t>Restaurant Stadthof Priska Hengartner</t>
  </si>
  <si>
    <t>Farbgasse 13</t>
  </si>
  <si>
    <t>Reist - Softstone</t>
  </si>
  <si>
    <t>Buchlistrasse 19</t>
  </si>
  <si>
    <t>C237000</t>
  </si>
  <si>
    <t>Be- und Verarbeitung von Naturwerksteinen und Natursteinen a. n. g.</t>
  </si>
  <si>
    <t>CHE-114.114.221</t>
  </si>
  <si>
    <t>Orient Gipserei Bekir</t>
  </si>
  <si>
    <t>Farnsbergstrasse 7</t>
  </si>
  <si>
    <t>CHE-113.113.215</t>
  </si>
  <si>
    <t>Jörg Ryf Müller</t>
  </si>
  <si>
    <t>Solothurnstrasse 54 B</t>
  </si>
  <si>
    <t>CHE-113.113.897</t>
  </si>
  <si>
    <t>Spotti interieur naturel GmbH</t>
  </si>
  <si>
    <t>CHE-113.113.379</t>
  </si>
  <si>
    <t>Restaurant Bären, Martin Rytz</t>
  </si>
  <si>
    <t>Stauffenbach 13</t>
  </si>
  <si>
    <t>W. Haldemann</t>
  </si>
  <si>
    <t>Murgenthalstrasse 67 A</t>
  </si>
  <si>
    <t>Glanzmann Investment</t>
  </si>
  <si>
    <t>Eichenweg 7</t>
  </si>
  <si>
    <t>K661200</t>
  </si>
  <si>
    <t>Effekten- und Warenhandel</t>
  </si>
  <si>
    <t>CHE-112.112.251</t>
  </si>
  <si>
    <t>KulturBus Dietrich</t>
  </si>
  <si>
    <t>Spittelbünliweg 9</t>
  </si>
  <si>
    <t>CHE-111.111.098</t>
  </si>
  <si>
    <t>MOTO LEHMANN AG</t>
  </si>
  <si>
    <t>Eymattstrasse 2</t>
  </si>
  <si>
    <t>CHE-110.110.905</t>
  </si>
  <si>
    <t>La Stella Damenmode, Inhaberin Therese Lanz</t>
  </si>
  <si>
    <t>Marktgasse 34</t>
  </si>
  <si>
    <t>CHE-110.110.570</t>
  </si>
  <si>
    <t>pml-millers holding ag</t>
  </si>
  <si>
    <t>c/o aeschlimann-mühle ag</t>
  </si>
  <si>
    <t>Eiche 17</t>
  </si>
  <si>
    <t>CHE-110.110.473</t>
  </si>
  <si>
    <t>Restaurant National, M. Petrovic</t>
  </si>
  <si>
    <t>Zürichstrasse 14</t>
  </si>
  <si>
    <t>CHE-110.110.749</t>
  </si>
  <si>
    <t>SB Schärer Beteiligung GmbH</t>
  </si>
  <si>
    <t>CHE-109.109.653</t>
  </si>
  <si>
    <t>Kfocus René Vock</t>
  </si>
  <si>
    <t>Holzgasse 32 a</t>
  </si>
  <si>
    <t>CHE-109.109.603</t>
  </si>
  <si>
    <t>Oltech, Olsson-Baumgartner</t>
  </si>
  <si>
    <t>Eichenweg 10</t>
  </si>
  <si>
    <t>CHE-109.109.729</t>
  </si>
  <si>
    <t>UB Holding Langenthal AG</t>
  </si>
  <si>
    <t>c/o Gebrüder Brand AG, Spenglerei &amp; Sanitäre Installationen</t>
  </si>
  <si>
    <t>CHE-109.109.389</t>
  </si>
  <si>
    <t>Pocon Teach &amp; Trade Rainer Fritzius</t>
  </si>
  <si>
    <t>Siloweg 11</t>
  </si>
  <si>
    <t>P853102</t>
  </si>
  <si>
    <t>Maturitätsschulen</t>
  </si>
  <si>
    <t>CHE-109.109.638</t>
  </si>
  <si>
    <t>Intertrade, E. Zaugg</t>
  </si>
  <si>
    <t>Gitziweid-Strasse 8</t>
  </si>
  <si>
    <t>CHE-109.109.205</t>
  </si>
  <si>
    <t>Grütter Holding AG</t>
  </si>
  <si>
    <t>c/o E. GRÜTTER AG</t>
  </si>
  <si>
    <t>CHE-108.108.588</t>
  </si>
  <si>
    <t>KTA, Roth Melchior</t>
  </si>
  <si>
    <t>Bernstrasse 28</t>
  </si>
  <si>
    <t>CHE-108.108.357</t>
  </si>
  <si>
    <t>DELI-LAMPEN, Dennler Yvonne</t>
  </si>
  <si>
    <t>Neumattweg 8</t>
  </si>
  <si>
    <t>C274000</t>
  </si>
  <si>
    <t>Herstellung von elektrischen Lampen und Leuchten</t>
  </si>
  <si>
    <t>CHE-108.108.973</t>
  </si>
  <si>
    <t>WERU GmbH, Rudersberg (D), Zweigniederlassung Aarwangen</t>
  </si>
  <si>
    <t>Zweigniederlassung einer ausl. Gesellschaft</t>
  </si>
  <si>
    <t>Langenthalstrasse 68</t>
  </si>
  <si>
    <t>CHE-108.108.216</t>
  </si>
  <si>
    <t>Born + Grimm AG</t>
  </si>
  <si>
    <t>CHE-108.108.507</t>
  </si>
  <si>
    <t>Reist Viehhandel</t>
  </si>
  <si>
    <t>CHE-108.108.571</t>
  </si>
  <si>
    <t>Rahmen- und Bücherwerkstatt Frau Carmen Mebes</t>
  </si>
  <si>
    <t>Kaesereistrasse 2</t>
  </si>
  <si>
    <t>CHE-108.108.669</t>
  </si>
  <si>
    <t>Fernseh Spichiger</t>
  </si>
  <si>
    <t>Buetzbergstrasse 13</t>
  </si>
  <si>
    <t>CHE-108.108.421</t>
  </si>
  <si>
    <t>P. Fornara</t>
  </si>
  <si>
    <t>Marktgasse 3</t>
  </si>
  <si>
    <t>CHE-108.108.364</t>
  </si>
  <si>
    <t>Fritz Bürki</t>
  </si>
  <si>
    <t>CHE-107.107.121</t>
  </si>
  <si>
    <t>FBG Immo AG</t>
  </si>
  <si>
    <t>CHE-107.107.207</t>
  </si>
  <si>
    <t>Zwahlen Radio Foto AG</t>
  </si>
  <si>
    <t>Wynaustrasse 1</t>
  </si>
  <si>
    <t>Buwi, Urs Ingold</t>
  </si>
  <si>
    <t>In der Gass 6</t>
  </si>
  <si>
    <t>CHRISTEN HANS Transporte + Pneu</t>
  </si>
  <si>
    <t>Baselstrasse 5</t>
  </si>
  <si>
    <t>Bieri Alfred Transporte</t>
  </si>
  <si>
    <t>E. Kyburz</t>
  </si>
  <si>
    <t>Scheurhofstrasse 24</t>
  </si>
  <si>
    <t>G478900</t>
  </si>
  <si>
    <t>Detailhandel mit sonstigen Gütern an Verkaufsständen und auf Märkten</t>
  </si>
  <si>
    <t>CHE-107.107.845</t>
  </si>
  <si>
    <t>Stefan Janssen</t>
  </si>
  <si>
    <t>CHE-107.107.340</t>
  </si>
  <si>
    <t>Urs Gugelmann Transporte</t>
  </si>
  <si>
    <t>Dorfstrasse 11</t>
  </si>
  <si>
    <t>CHE-107.107.780</t>
  </si>
  <si>
    <t>Niklaus Twerenbold, Goldschmied, Juwelier</t>
  </si>
  <si>
    <t>Lindenrain 4</t>
  </si>
  <si>
    <t>CHE-107.107.286</t>
  </si>
  <si>
    <t>Sokac Haustechnik</t>
  </si>
  <si>
    <t>Spittelbünliweg 21</t>
  </si>
  <si>
    <t>CHE-107.107.111</t>
  </si>
  <si>
    <t>Hans Rudolf Zaugg &amp; Co.</t>
  </si>
  <si>
    <t>CHE-106.106.243</t>
  </si>
  <si>
    <t>Orthopädie-Schuhtechnik Markus Strasser</t>
  </si>
  <si>
    <t>Vorstadt 12</t>
  </si>
  <si>
    <t>CHE-106.106.055</t>
  </si>
  <si>
    <t>CHE-106.106.955</t>
  </si>
  <si>
    <t>Reto Schulthess</t>
  </si>
  <si>
    <t>Druckerloch 32a</t>
  </si>
  <si>
    <t>CHE-106.106.513</t>
  </si>
  <si>
    <t>Klaus Meier</t>
  </si>
  <si>
    <t>Stationsweg 3</t>
  </si>
  <si>
    <t>CHE-106.106.527</t>
  </si>
  <si>
    <t>Bigler Heizungen</t>
  </si>
  <si>
    <t>Mittelstrasse 26</t>
  </si>
  <si>
    <t>CHE-106.106.916</t>
  </si>
  <si>
    <t>Käppeli Medizintechnik</t>
  </si>
  <si>
    <t>Kindergartenweg 2</t>
  </si>
  <si>
    <t>Bahnhofstrasse 25</t>
  </si>
  <si>
    <t>CHE-106.106.818</t>
  </si>
  <si>
    <t>Fr. Maurer-Kohler</t>
  </si>
  <si>
    <t>Burgerweg 33</t>
  </si>
  <si>
    <t>CHE-105.105.981</t>
  </si>
  <si>
    <t>Helfenfinger Wörk's</t>
  </si>
  <si>
    <t>CHE-105.105.236</t>
  </si>
  <si>
    <t>Roth Prozesstechnik GmbH</t>
  </si>
  <si>
    <t>Mumenthalstrasse 47</t>
  </si>
  <si>
    <t>CHE-105.105.284</t>
  </si>
  <si>
    <t>Konstruktionsbüro Mori Walter</t>
  </si>
  <si>
    <t>Bifangweg 6</t>
  </si>
  <si>
    <t>CHE-105.105.825</t>
  </si>
  <si>
    <t>Flückiger Transporte</t>
  </si>
  <si>
    <t>Matte 73</t>
  </si>
  <si>
    <t>CHE-104.104.647</t>
  </si>
  <si>
    <t>Meyer Handelsunternehmung</t>
  </si>
  <si>
    <t>Lerchenweg 7</t>
  </si>
  <si>
    <t>CHE-104.104.085</t>
  </si>
  <si>
    <t>Pferdezuchtgenossenschaft Oberaargau</t>
  </si>
  <si>
    <t>c/o Andreas Bösiger</t>
  </si>
  <si>
    <t>Heimenhausenstrasse 51</t>
  </si>
  <si>
    <t>CHE-103.103.518</t>
  </si>
  <si>
    <t>C110200</t>
  </si>
  <si>
    <t>Herstellung von Traubenwein</t>
  </si>
  <si>
    <t>CHE-103.103.389</t>
  </si>
  <si>
    <t>Milchgenossenschaft Reisiswil</t>
  </si>
  <si>
    <t>c/o Ulrich Schär</t>
  </si>
  <si>
    <t>Adlihubel 12</t>
  </si>
  <si>
    <t>CHE-103.103.034</t>
  </si>
  <si>
    <t>Walter Reinmann Gebäudereinigungen</t>
  </si>
  <si>
    <t>CHE-103.103.779</t>
  </si>
  <si>
    <t>Roth Kurt</t>
  </si>
  <si>
    <t>Weiherweg 28</t>
  </si>
  <si>
    <t>CHE-103.103.284</t>
  </si>
  <si>
    <t>B. Wälchli AG</t>
  </si>
  <si>
    <t>Hofstrasse 25</t>
  </si>
  <si>
    <t>Hauptstrasse 57</t>
  </si>
  <si>
    <t>CHE-114.114.635</t>
  </si>
  <si>
    <t>René Misteli</t>
  </si>
  <si>
    <t>Seilerstrasse 24</t>
  </si>
  <si>
    <t>CHE-100.100.440</t>
  </si>
  <si>
    <t>Guitar's Amp. Zubehör Horst Allemann</t>
  </si>
  <si>
    <t>Bielstrasse 31</t>
  </si>
  <si>
    <t>G475901</t>
  </si>
  <si>
    <t>Detailhandel mit Musikinstrumenten</t>
  </si>
  <si>
    <t>mosCo, Moser Consulting</t>
  </si>
  <si>
    <t>Staedtli 16</t>
  </si>
  <si>
    <t>CHE-100.100.819</t>
  </si>
  <si>
    <t>Emilio Vazquez-Gasser</t>
  </si>
  <si>
    <t>Breitfluhstrasse 5</t>
  </si>
  <si>
    <t>CHE-114.114.631</t>
  </si>
  <si>
    <t>EWC GmbH</t>
  </si>
  <si>
    <t>Breitsteinweg 32</t>
  </si>
  <si>
    <t>CHE-116.116.759</t>
  </si>
  <si>
    <t>petcenter.ch AG</t>
  </si>
  <si>
    <t>Stockackerweg 20</t>
  </si>
  <si>
    <t>Schär + Leuenberger Schaltanlagen AG</t>
  </si>
  <si>
    <t>CHE-312.312.097</t>
  </si>
  <si>
    <t>malerei kurt gmbh</t>
  </si>
  <si>
    <t>Krippenstrasse 4</t>
  </si>
  <si>
    <t>CHE-106.106.064</t>
  </si>
  <si>
    <t>Gold Schmiede Flück</t>
  </si>
  <si>
    <t>Muehleweg 12</t>
  </si>
  <si>
    <t>CHE-413.413.775</t>
  </si>
  <si>
    <t>Marending JobRange-Handel</t>
  </si>
  <si>
    <t>Sonnmattweg 6</t>
  </si>
  <si>
    <t>CHE-109.109.529</t>
  </si>
  <si>
    <t>emo innenarchitektur ag</t>
  </si>
  <si>
    <t>CHE-104.104.750</t>
  </si>
  <si>
    <t>Baugenossenschaft Freiland Langenthal</t>
  </si>
  <si>
    <t>c/o Habegger Biedermann Rechtsanwälte</t>
  </si>
  <si>
    <t>CHE-103.103.963</t>
  </si>
  <si>
    <t>Frutig AG</t>
  </si>
  <si>
    <t>CHE-114.114.645</t>
  </si>
  <si>
    <t>BK Lederveredelung Solar Inh. Bösiger</t>
  </si>
  <si>
    <t>Hofmattenweg 4B</t>
  </si>
  <si>
    <t>CHE-102.102.494</t>
  </si>
  <si>
    <t>Sofri GmbH</t>
  </si>
  <si>
    <t>Sonnhaldenstrasse 63</t>
  </si>
  <si>
    <t>CHE-109.109.563</t>
  </si>
  <si>
    <t>Rio-Pool technics GmbH</t>
  </si>
  <si>
    <t>Brunnenweg 5</t>
  </si>
  <si>
    <t>CHE-114.114.185</t>
  </si>
  <si>
    <t>Markus Gygax Gartenbau</t>
  </si>
  <si>
    <t>Seestrasse 5</t>
  </si>
  <si>
    <t>CHE-116.116.249</t>
  </si>
  <si>
    <t>Tony Lüchinger</t>
  </si>
  <si>
    <t>Oberfeldstrasse 24</t>
  </si>
  <si>
    <t>CHE-177.177.527</t>
  </si>
  <si>
    <t>Arn Heizung-Sanitär AG</t>
  </si>
  <si>
    <t>CHE-297.297.026</t>
  </si>
  <si>
    <t>Quinlan-Cemms-GmbH</t>
  </si>
  <si>
    <t>Oberdorfstrasse 27</t>
  </si>
  <si>
    <t>CHE-343.343.628</t>
  </si>
  <si>
    <t>Immolena GmbH</t>
  </si>
  <si>
    <t>CHE-243.243.998</t>
  </si>
  <si>
    <t>Geiser Consulting</t>
  </si>
  <si>
    <t>Dorfgasse 14</t>
  </si>
  <si>
    <t>CHE-138.138.825</t>
  </si>
  <si>
    <t>Aves, Praxis für Ergotherapie und Coaching GmbH</t>
  </si>
  <si>
    <t>CHE-431.431.395</t>
  </si>
  <si>
    <t>Lopes Daniel</t>
  </si>
  <si>
    <t>Bleienbachstrasse 19B</t>
  </si>
  <si>
    <t>CHE-318.318.607</t>
  </si>
  <si>
    <t>Mäder Christian</t>
  </si>
  <si>
    <t>Dorf 37</t>
  </si>
  <si>
    <t>CHE-258.258.950</t>
  </si>
  <si>
    <t>Aeschbach Peter AG</t>
  </si>
  <si>
    <t>Zürichstrasse 84</t>
  </si>
  <si>
    <t>CHE-255.255.184</t>
  </si>
  <si>
    <t>Bauen mit Bieli GmbH</t>
  </si>
  <si>
    <t>Blumenweg 8</t>
  </si>
  <si>
    <t>Aarwangenstrasse 7</t>
  </si>
  <si>
    <t>CHE-236.236.001</t>
  </si>
  <si>
    <t>Andrijanic Tina SCHMUTZEXORZIST REINIGUNG</t>
  </si>
  <si>
    <t>Oberer Freiburgweg 15</t>
  </si>
  <si>
    <t>CHE-236.236.354</t>
  </si>
  <si>
    <t>CreaArt Fiechter</t>
  </si>
  <si>
    <t>CHE-236.236.126</t>
  </si>
  <si>
    <t>HpMü GmbH</t>
  </si>
  <si>
    <t>c/o Hanspeter Mühlemann</t>
  </si>
  <si>
    <t>Zielackerstrasse 15</t>
  </si>
  <si>
    <t>CHE-482.482.856</t>
  </si>
  <si>
    <t>Privat Kabelfernsehen Gondiswil AG</t>
  </si>
  <si>
    <t>Gerbe 91A</t>
  </si>
  <si>
    <t>CHE-167.167.652</t>
  </si>
  <si>
    <t>KMU360 Stüber</t>
  </si>
  <si>
    <t>Kirchgasse 1 a</t>
  </si>
  <si>
    <t>CHE-166.166.192</t>
  </si>
  <si>
    <t>Vitalwasser - Haring</t>
  </si>
  <si>
    <t>Humpergstrasse 9</t>
  </si>
  <si>
    <t>CHE-153.153.837</t>
  </si>
  <si>
    <t>Flückiger Baumaschinenvermietung</t>
  </si>
  <si>
    <t>Untere Breite 1</t>
  </si>
  <si>
    <t>CHE-115.115.979</t>
  </si>
  <si>
    <t>Fusspflege Schwaller</t>
  </si>
  <si>
    <t>Seilerstrasse 28</t>
  </si>
  <si>
    <t>CHE-114.114.459</t>
  </si>
  <si>
    <t>FBG Holding AG</t>
  </si>
  <si>
    <t>c/o Flückiger &amp; Braunschweiler Sägereimaschinen AG</t>
  </si>
  <si>
    <t>c/o Schlossfabrik Heusser AG</t>
  </si>
  <si>
    <t>Murgstrasse 11</t>
  </si>
  <si>
    <t>CHE-112.112.734</t>
  </si>
  <si>
    <t>Alterssiedlung Ursenbach</t>
  </si>
  <si>
    <t>c/o Verena Weber</t>
  </si>
  <si>
    <t>Gerberain 209</t>
  </si>
  <si>
    <t>CHE-112.112.168</t>
  </si>
  <si>
    <t>Stalder Vermögensverwaltung GmbH</t>
  </si>
  <si>
    <t>CHE-112.112.646</t>
  </si>
  <si>
    <t>Friedli Pferdetransporter GmbH</t>
  </si>
  <si>
    <t>Bodengasse 4</t>
  </si>
  <si>
    <t>Käsereistrasse 9</t>
  </si>
  <si>
    <t>CHE-110.110.441</t>
  </si>
  <si>
    <t>Crespo-Classic-Cars.ch GmbH</t>
  </si>
  <si>
    <t>CHE-109.109.963</t>
  </si>
  <si>
    <t>Edgar Kläntschi, CNC Mechanik</t>
  </si>
  <si>
    <t>Spätig Motorsports AG</t>
  </si>
  <si>
    <t>Hauptstrasse 82</t>
  </si>
  <si>
    <t>G451902</t>
  </si>
  <si>
    <t>Detailhandel mit Automobilen mit einem Gesamtgewicht von mehr als 3,5 t</t>
  </si>
  <si>
    <t>CHE-108.108.799</t>
  </si>
  <si>
    <t>Anderegg Baumschulen AG</t>
  </si>
  <si>
    <t>Lotzwilfeldweg 24A</t>
  </si>
  <si>
    <t>CHE-108.108.926</t>
  </si>
  <si>
    <t>mc-electronics Morgenthaler</t>
  </si>
  <si>
    <t>Mühlebergstrasse 21</t>
  </si>
  <si>
    <t>E. Lanz Radio - TV AG</t>
  </si>
  <si>
    <t>C331400</t>
  </si>
  <si>
    <t>Reparatur von elektrischen Ausrüstungen</t>
  </si>
  <si>
    <t>CHE-108.108.583</t>
  </si>
  <si>
    <t>Knuchel Markus, Spenglerei + Sanitär</t>
  </si>
  <si>
    <t>Baselstrasse 7</t>
  </si>
  <si>
    <t>CHE-108.108.522</t>
  </si>
  <si>
    <t>Metrabau GmbH</t>
  </si>
  <si>
    <t>Ahornstrasse 40</t>
  </si>
  <si>
    <t>CHE-108.108.347</t>
  </si>
  <si>
    <t>Parking Langete AG</t>
  </si>
  <si>
    <t>c/o Werner Leuenberger</t>
  </si>
  <si>
    <t>CHE-108.108.541</t>
  </si>
  <si>
    <t>Graf, Krummenacher &amp; Partner Beratungsgesellschaft GmbH</t>
  </si>
  <si>
    <t>CHE-108.108.660</t>
  </si>
  <si>
    <t>Dr. med. Andreas Bieri, Langenthal AG</t>
  </si>
  <si>
    <t>Schorenstrasse 3</t>
  </si>
  <si>
    <t>CHE-108.108.666</t>
  </si>
  <si>
    <t>Martin Strub GmbH</t>
  </si>
  <si>
    <t>CHE-108.108.332</t>
  </si>
  <si>
    <t>H. Gerspacher, Kino Rex</t>
  </si>
  <si>
    <t>Bahnhofstrasse 19</t>
  </si>
  <si>
    <t>CHE-300.300.517</t>
  </si>
  <si>
    <t>Stiftung Kunst-Hof</t>
  </si>
  <si>
    <t>Reutergässli 11</t>
  </si>
  <si>
    <t>CHE-106.106.324</t>
  </si>
  <si>
    <t>Wüthrich H.P.</t>
  </si>
  <si>
    <t>CHE-105.105.777</t>
  </si>
  <si>
    <t>Buchbinderei, Einrahmungen, Papeterie zum Tintenfass A. Späti</t>
  </si>
  <si>
    <t>Unterstrasse 17</t>
  </si>
  <si>
    <t>C181400</t>
  </si>
  <si>
    <t>Binden von Druckerzeugnissen und damit verbundene Dienstleistungen</t>
  </si>
  <si>
    <t>CHE-105.105.659</t>
  </si>
  <si>
    <t>CHE-105.105.937</t>
  </si>
  <si>
    <t>Sollberger Consulting + Engineering</t>
  </si>
  <si>
    <t>Grasweg 7</t>
  </si>
  <si>
    <t>CHE-105.105.549</t>
  </si>
  <si>
    <t>Aarwangenstr. 57</t>
  </si>
  <si>
    <t>CHE-105.105.150</t>
  </si>
  <si>
    <t>Swissdis AG</t>
  </si>
  <si>
    <t>Paul Jenzer</t>
  </si>
  <si>
    <t>Bettenhausenstrasse 3</t>
  </si>
  <si>
    <t>CHE-103.103.817</t>
  </si>
  <si>
    <t>Tuma Jaroslav Ivan</t>
  </si>
  <si>
    <t>Kirchgasse 42</t>
  </si>
  <si>
    <t>Schulhausstrasse 12</t>
  </si>
  <si>
    <t>CHE-102.102.759</t>
  </si>
  <si>
    <t>Beat Etter</t>
  </si>
  <si>
    <t>Moosbachstrasse 1</t>
  </si>
  <si>
    <t>G463600</t>
  </si>
  <si>
    <t>Grosshandel mit Zucker, Süsswaren und Backwaren</t>
  </si>
  <si>
    <t>CHE-102.102.362</t>
  </si>
  <si>
    <t>Schaad Wohnbau AG</t>
  </si>
  <si>
    <t>Burgstrasse 18</t>
  </si>
  <si>
    <t>CHE-102.102.296</t>
  </si>
  <si>
    <t>Pferde-Versicherungs-Genossenschaft von Langenthal und Umgebung</t>
  </si>
  <si>
    <t>c/o Kathrin Rindlisbacher-Süess</t>
  </si>
  <si>
    <t>CHE-102.102.599</t>
  </si>
  <si>
    <t>A. Schaad, Research United Technologies</t>
  </si>
  <si>
    <t>CHE-101.101.348</t>
  </si>
  <si>
    <t>X-Light &amp; Sound Veranstaltungstechnik GmbH</t>
  </si>
  <si>
    <t>CHE-101.101.560</t>
  </si>
  <si>
    <t>Ardelogis, Rudolf Sieber, Architekturbüro</t>
  </si>
  <si>
    <t>Rumiweg 6</t>
  </si>
  <si>
    <t>CHE-100.100.365</t>
  </si>
  <si>
    <t>Bettwaren Hohl</t>
  </si>
  <si>
    <t>C139202</t>
  </si>
  <si>
    <t>Herstellung von Bettwaren</t>
  </si>
  <si>
    <t>CHE-318.318.171</t>
  </si>
  <si>
    <t>mindcraft AG</t>
  </si>
  <si>
    <t>c/o Josua Hönger</t>
  </si>
  <si>
    <t>Dennliweg 76A</t>
  </si>
  <si>
    <t>CHE-295.295.909</t>
  </si>
  <si>
    <t>Marco Kurt Dellentechnik GmbH</t>
  </si>
  <si>
    <t>Jurastrasse 13</t>
  </si>
  <si>
    <t>CHE-294.294.791</t>
  </si>
  <si>
    <t>Thai-Tuk-Tuk GmbH</t>
  </si>
  <si>
    <t>Bernstrasse 6</t>
  </si>
  <si>
    <t>CHE-294.294.873</t>
  </si>
  <si>
    <t>GALL GU GmbH</t>
  </si>
  <si>
    <t>Elzweg 4</t>
  </si>
  <si>
    <t>CHE-284.284.354</t>
  </si>
  <si>
    <t>Montagebau Kulpinski</t>
  </si>
  <si>
    <t>CHE-284.284.645</t>
  </si>
  <si>
    <t>Garage Kilchenmann AG</t>
  </si>
  <si>
    <t>Marktgasse 6</t>
  </si>
  <si>
    <t>CHE-454.454.010</t>
  </si>
  <si>
    <t>Reuss-FM GmbH</t>
  </si>
  <si>
    <t>Bahnhofstrasse 36</t>
  </si>
  <si>
    <t>CHE-279.279.377</t>
  </si>
  <si>
    <t>TCM Praxis Ju GmbH</t>
  </si>
  <si>
    <t>CHE-278.278.676</t>
  </si>
  <si>
    <t>Kat 112 GmbH</t>
  </si>
  <si>
    <t>CHE-278.278.785</t>
  </si>
  <si>
    <t>Grossenbacher Immobilien Beratung GmbH</t>
  </si>
  <si>
    <t>CHE-273.273.107</t>
  </si>
  <si>
    <t>Zweifel Ofenbau GmbH</t>
  </si>
  <si>
    <t>Hinterstädtli 31</t>
  </si>
  <si>
    <t>CHE-270.270.206</t>
  </si>
  <si>
    <t>Waffen Sommer GmbH</t>
  </si>
  <si>
    <t>CHE-270.270.765</t>
  </si>
  <si>
    <t>Herzig Werkstatt GmbH</t>
  </si>
  <si>
    <t>Untere Dürrmühlestrasse 23</t>
  </si>
  <si>
    <t>CHE-270.270.995</t>
  </si>
  <si>
    <t>Jordi Johanna Margaretha</t>
  </si>
  <si>
    <t>Schmittenstrasse 44</t>
  </si>
  <si>
    <t>CHE-103.103.084</t>
  </si>
  <si>
    <t>Fankhauser AG Landmaschinen &amp; Service</t>
  </si>
  <si>
    <t>Haltestelle 173a</t>
  </si>
  <si>
    <t>CHE-112.112.539</t>
  </si>
  <si>
    <t>Hug Productions</t>
  </si>
  <si>
    <t>Unterer Bündtenackerweg 7 c</t>
  </si>
  <si>
    <t>CHE-101.101.291</t>
  </si>
  <si>
    <t>Stiftung für Alterswohnungen in Langenthal</t>
  </si>
  <si>
    <t>c/o Alterszentrum Haslibrunnen</t>
  </si>
  <si>
    <t>CHE-439.439.011</t>
  </si>
  <si>
    <t>CHE-421.421.196</t>
  </si>
  <si>
    <t>Die Putzengel - Monique Katassou</t>
  </si>
  <si>
    <t>Ringstrasse 20</t>
  </si>
  <si>
    <t>CHE-464.464.574</t>
  </si>
  <si>
    <t>Oberi Bäch AG</t>
  </si>
  <si>
    <t>Neuhausstrasse 3</t>
  </si>
  <si>
    <t>Q872002</t>
  </si>
  <si>
    <t>Institutionen für psychosoziale Fälle</t>
  </si>
  <si>
    <t>CHE-115.115.620</t>
  </si>
  <si>
    <t>Lindenacker GmbH</t>
  </si>
  <si>
    <t>Lindenacker 10</t>
  </si>
  <si>
    <t>CHE-428.428.375</t>
  </si>
  <si>
    <t>Oliver Meyer Beteiligungs GmbH</t>
  </si>
  <si>
    <t>Bergstrasse 27c</t>
  </si>
  <si>
    <t>CHE-213.213.135</t>
  </si>
  <si>
    <t>Pronorma GmbH</t>
  </si>
  <si>
    <t>Luzernstrasse 21</t>
  </si>
  <si>
    <t>CHE-102.102.729</t>
  </si>
  <si>
    <t>Rimot Engineering AG</t>
  </si>
  <si>
    <t>CHE-231.231.443</t>
  </si>
  <si>
    <t>ProjektBauer GmbH</t>
  </si>
  <si>
    <t>Zeughausstrasse 19</t>
  </si>
  <si>
    <t>CHE-347.347.109</t>
  </si>
  <si>
    <t>Scherenschnitte Esther Gerber GmbH</t>
  </si>
  <si>
    <t>Toggiburgstrasse 10</t>
  </si>
  <si>
    <t>CHE-112.112.614</t>
  </si>
  <si>
    <t>technology for innovations, Imbach</t>
  </si>
  <si>
    <t>Jägerweg 1</t>
  </si>
  <si>
    <t>CHE-109.109.440</t>
  </si>
  <si>
    <t>Genossenschaft betreutes Wohnen in Wynau</t>
  </si>
  <si>
    <t>c/o Gemeindeschreiberei Wynau</t>
  </si>
  <si>
    <t>CHE-486.486.313</t>
  </si>
  <si>
    <t>Rolf Jaeggi Architektur GmbH</t>
  </si>
  <si>
    <t>Dorfstrasse 66</t>
  </si>
  <si>
    <t>CHE-475.475.278</t>
  </si>
  <si>
    <t>CHE-114.114.778</t>
  </si>
  <si>
    <t>RKG AG</t>
  </si>
  <si>
    <t>Terrassenweg 29</t>
  </si>
  <si>
    <t>CHE-115.115.586</t>
  </si>
  <si>
    <t>Tridelta International AG</t>
  </si>
  <si>
    <t>c/o Anwälte &amp; Notare im Oberaargau</t>
  </si>
  <si>
    <t>Oberstrasse 20</t>
  </si>
  <si>
    <t>CHE-112.112.926</t>
  </si>
  <si>
    <t>Simatec Installations AG</t>
  </si>
  <si>
    <t>CHE-100.100.708</t>
  </si>
  <si>
    <t>Substance Management SA</t>
  </si>
  <si>
    <t>CHE-115.115.158</t>
  </si>
  <si>
    <t>WUNDERWERKSTATT Menke</t>
  </si>
  <si>
    <t>Wangenstrasse 17</t>
  </si>
  <si>
    <t>CHE-493.493.876</t>
  </si>
  <si>
    <t>Munk GmbH</t>
  </si>
  <si>
    <t>c/o Anton und Katja Bieler-Stettler</t>
  </si>
  <si>
    <t>Bläuenrainstrasse 24</t>
  </si>
  <si>
    <t>CHE-183.183.200</t>
  </si>
  <si>
    <t>saa ag, Zweigniederlassung Langenthal</t>
  </si>
  <si>
    <t>CHE-101.101.466</t>
  </si>
  <si>
    <t>Stiftung zur Förderung wissenschaftlich-heimatkundlicher Forschung über Dorf und Gemeinde Langenthal</t>
  </si>
  <si>
    <t>c/o Städtische Bibliothek</t>
  </si>
  <si>
    <t>CHE-101.101.842</t>
  </si>
  <si>
    <t>Tomexpo AG</t>
  </si>
  <si>
    <t>Gartenstrasse 1</t>
  </si>
  <si>
    <t>CHE-207.207.315</t>
  </si>
  <si>
    <t>Tievnnay AG</t>
  </si>
  <si>
    <t>Dorfgasse 86d</t>
  </si>
  <si>
    <t>CHE-263.263.950</t>
  </si>
  <si>
    <t>KOI KLINIK Langenthal GmbH</t>
  </si>
  <si>
    <t>CHE-261.261.329</t>
  </si>
  <si>
    <t>Hosner Holzbau GmbH</t>
  </si>
  <si>
    <t>Oberfeldweg 3</t>
  </si>
  <si>
    <t>CHE-261.261.574</t>
  </si>
  <si>
    <t>RMH Liegenschaft GmbH</t>
  </si>
  <si>
    <t>Bollodingen (Bettenhausen)</t>
  </si>
  <si>
    <t>CHE-259.259.839</t>
  </si>
  <si>
    <t>Bläuenstein AG Garten-Gestaltung</t>
  </si>
  <si>
    <t>Gaswerkstrasse 72</t>
  </si>
  <si>
    <t>CHE-446.446.793</t>
  </si>
  <si>
    <t>Nafre Holding GmbH</t>
  </si>
  <si>
    <t>CHE-257.257.474</t>
  </si>
  <si>
    <t>CHG Holding AG</t>
  </si>
  <si>
    <t>Hofmattstrasse 6</t>
  </si>
  <si>
    <t>CHE-249.249.131</t>
  </si>
  <si>
    <t>Tony Meyer Holding GmbH</t>
  </si>
  <si>
    <t>c/o Max Meyer AG</t>
  </si>
  <si>
    <t>CHE-249.249.191</t>
  </si>
  <si>
    <t>Talia-Immo AG</t>
  </si>
  <si>
    <t>CHE-248.248.268</t>
  </si>
  <si>
    <t>Jordi Corporation GmbH</t>
  </si>
  <si>
    <t>c/o Christoph Jordi</t>
  </si>
  <si>
    <t>Erlibachweg 15</t>
  </si>
  <si>
    <t>Stiftung Alters-Siedlung Huttwil</t>
  </si>
  <si>
    <t>c/o Hanna Schäfer-Kohler</t>
  </si>
  <si>
    <t>Buchenweg 16</t>
  </si>
  <si>
    <t>CHE-108.108.506</t>
  </si>
  <si>
    <t>Hoflor AG</t>
  </si>
  <si>
    <t>CHE-428.428.935</t>
  </si>
  <si>
    <t>KRAL Transport GmbH</t>
  </si>
  <si>
    <t>Doktorsträssli 5</t>
  </si>
  <si>
    <t>CHE-244.244.343</t>
  </si>
  <si>
    <t>Chrigu's Aarebeizli GmbH</t>
  </si>
  <si>
    <t>Buchlistrasse 20 a</t>
  </si>
  <si>
    <t>CHE-102.102.008</t>
  </si>
  <si>
    <t>H. Ernst + Cie. AG</t>
  </si>
  <si>
    <t>CHE-243.243.296</t>
  </si>
  <si>
    <t>Zaugg Unterlagsböden GmbH</t>
  </si>
  <si>
    <t>Mühlematte 7</t>
  </si>
  <si>
    <t>CHE-240.240.356</t>
  </si>
  <si>
    <t>ecotec straumann</t>
  </si>
  <si>
    <t>Finkenweg 12</t>
  </si>
  <si>
    <t>CHE-105.105.028</t>
  </si>
  <si>
    <t>Vitalmind AG</t>
  </si>
  <si>
    <t>Unterstrasse 20</t>
  </si>
  <si>
    <t>CHE-445.445.338</t>
  </si>
  <si>
    <t>variant perception ventures ag</t>
  </si>
  <si>
    <t>Schützenstrasse 28</t>
  </si>
  <si>
    <t>CHE-234.234.649</t>
  </si>
  <si>
    <t>Kinderarztpraxis Dr. med. Kathrin Le GmbH</t>
  </si>
  <si>
    <t>CHE-230.230.096</t>
  </si>
  <si>
    <t>Bernhard Bieri Group AG</t>
  </si>
  <si>
    <t>c/o Bernhard Bieri</t>
  </si>
  <si>
    <t>Bleichestrasse 5b</t>
  </si>
  <si>
    <t>CHE-223.223.439</t>
  </si>
  <si>
    <t>Kraft &amp; Bauer Schweiz AG</t>
  </si>
  <si>
    <t>Neufeldweg 11</t>
  </si>
  <si>
    <t>CHE-108.108.644</t>
  </si>
  <si>
    <t>Amira Line AG</t>
  </si>
  <si>
    <t>Taubenrainweg 5</t>
  </si>
  <si>
    <t>CHE-214.214.607</t>
  </si>
  <si>
    <t>Doqi &amp; Co. Montage-Services</t>
  </si>
  <si>
    <t>Kleinfeldstrasse 16</t>
  </si>
  <si>
    <t>CHE-218.218.722</t>
  </si>
  <si>
    <t>Plüsch Kinderreich GmbH</t>
  </si>
  <si>
    <t>Wiesenstrasse 7</t>
  </si>
  <si>
    <t>CHE-213.213.607</t>
  </si>
  <si>
    <t>Stiftung Angels in Action</t>
  </si>
  <si>
    <t>CHE-212.212.239</t>
  </si>
  <si>
    <t>Haas u. Kellhofer GmbH</t>
  </si>
  <si>
    <t>Schulstrasse 11</t>
  </si>
  <si>
    <t>S949902</t>
  </si>
  <si>
    <t>Organisationen des Gesundheitswesens</t>
  </si>
  <si>
    <t>CHE-209.209.728</t>
  </si>
  <si>
    <t>Kathriner GmbH</t>
  </si>
  <si>
    <t>c/o Kathriner-Hebeisen Thomas und Andrea</t>
  </si>
  <si>
    <t>Dürrenbühl 57A</t>
  </si>
  <si>
    <t>CHE-199.199.990</t>
  </si>
  <si>
    <t>Gränicher Dienstleistungs GmbH</t>
  </si>
  <si>
    <t>CHE-190.190.184</t>
  </si>
  <si>
    <t>Inkassobüro Huttwil, Zweigniederlassung der Collecta AG</t>
  </si>
  <si>
    <t>Bahnhofstrasse 20</t>
  </si>
  <si>
    <t>CHE-110.110.522</t>
  </si>
  <si>
    <t>Gussimpex Holding AG</t>
  </si>
  <si>
    <t>c/o Roland Salvisberg</t>
  </si>
  <si>
    <t>Wiesenstrasse 29</t>
  </si>
  <si>
    <t>CHE-109.109.999</t>
  </si>
  <si>
    <t>Müller Transporte</t>
  </si>
  <si>
    <t>Haegistrasse 5</t>
  </si>
  <si>
    <t>Sembatec GmbH</t>
  </si>
  <si>
    <t>Weissensteinstrasse 2</t>
  </si>
  <si>
    <t>Reber Immobilien AG</t>
  </si>
  <si>
    <t>Sunfly AG</t>
  </si>
  <si>
    <t>CHE-134.134.063</t>
  </si>
  <si>
    <t>Gruszka Treuhand GmbH</t>
  </si>
  <si>
    <t>CHE-115.115.325</t>
  </si>
  <si>
    <t>Bieler AG, Aarwangen</t>
  </si>
  <si>
    <t>CHE-186.186.691</t>
  </si>
  <si>
    <t>Siegrist Jürg Holding AG</t>
  </si>
  <si>
    <t>c/o Jürg Siegrist</t>
  </si>
  <si>
    <t>CHE-184.184.847</t>
  </si>
  <si>
    <t>IKTech-Dienstleistungen GmbH</t>
  </si>
  <si>
    <t>Bergstrasse 18</t>
  </si>
  <si>
    <t>CHE-493.493.079</t>
  </si>
  <si>
    <t>Schreinerei Meer GmbH</t>
  </si>
  <si>
    <t>Amselweg 3</t>
  </si>
  <si>
    <t>CHE-254.254.214</t>
  </si>
  <si>
    <t>Nirvel Swiss GmbH</t>
  </si>
  <si>
    <t>G461800</t>
  </si>
  <si>
    <t>Handelsvermittlung von sonstigen Waren</t>
  </si>
  <si>
    <t>CHE-167.167.948</t>
  </si>
  <si>
    <t>Avisky GmbH</t>
  </si>
  <si>
    <t>Winkelstrasse 34</t>
  </si>
  <si>
    <t>CHE-160.160.461</t>
  </si>
  <si>
    <t>Reber Gartenmanager GmbH</t>
  </si>
  <si>
    <t>Untere Einschlagstrasse 6</t>
  </si>
  <si>
    <t>CHE-152.152.005</t>
  </si>
  <si>
    <t>Kita Oberbipp GmbH</t>
  </si>
  <si>
    <t>Mettlenstrasse 2</t>
  </si>
  <si>
    <t>CHE-149.149.521</t>
  </si>
  <si>
    <t>hdew technikpark ag</t>
  </si>
  <si>
    <t>CHE-149.149.247</t>
  </si>
  <si>
    <t>Wohnbaugenossenschaft Tiyospaye</t>
  </si>
  <si>
    <t>c/o Jacqueline Aranda Buchwalder</t>
  </si>
  <si>
    <t>Oberbühl 11</t>
  </si>
  <si>
    <t>CHE-148.148.236</t>
  </si>
  <si>
    <t>Carrosserie Studer</t>
  </si>
  <si>
    <t>Hauptstrasse 50</t>
  </si>
  <si>
    <t>CHE-147.147.970</t>
  </si>
  <si>
    <t>Hunkeler-Motos GmbH</t>
  </si>
  <si>
    <t>Luzernstrasse 77</t>
  </si>
  <si>
    <t>CHE-146.146.313</t>
  </si>
  <si>
    <t>Albert Gerber Transporte GmbH</t>
  </si>
  <si>
    <t>Steinfeldstrasse 26</t>
  </si>
  <si>
    <t>CHE-144.144.097</t>
  </si>
  <si>
    <t>MSM Treuhand AG</t>
  </si>
  <si>
    <t>CHE-138.138.100</t>
  </si>
  <si>
    <t>CHE-137.137.455</t>
  </si>
  <si>
    <t>HappyHeim GmbH</t>
  </si>
  <si>
    <t>Dorfgasse 77</t>
  </si>
  <si>
    <t>CHE-134.134.920</t>
  </si>
  <si>
    <t>Solar Consulting GmbH</t>
  </si>
  <si>
    <t>Brunnmattweg 9</t>
  </si>
  <si>
    <t>CHE-471.471.649</t>
  </si>
  <si>
    <t>Aegertenstrasse 15</t>
  </si>
  <si>
    <t>CHE-130.130.974</t>
  </si>
  <si>
    <t>CHE-116.116.176</t>
  </si>
  <si>
    <t>GVC GmbH</t>
  </si>
  <si>
    <t>Breitsteinweg 26a</t>
  </si>
  <si>
    <t>CHE-116.116.835</t>
  </si>
  <si>
    <t>Ikura Home GmbH</t>
  </si>
  <si>
    <t>Busswil bei Melchnau</t>
  </si>
  <si>
    <t>CHE-116.116.725</t>
  </si>
  <si>
    <t>gyni AG</t>
  </si>
  <si>
    <t>CHE-116.116.372</t>
  </si>
  <si>
    <t>Herzig Expertisen GmbH</t>
  </si>
  <si>
    <t>K662100</t>
  </si>
  <si>
    <t>Risiko- und Schadensbewertung</t>
  </si>
  <si>
    <t>CHE-110.110.108</t>
  </si>
  <si>
    <t>TechTrends GmbH</t>
  </si>
  <si>
    <t>CHE-109.109.652</t>
  </si>
  <si>
    <t>MANDATUM Verwaltungsmanagement GmbH</t>
  </si>
  <si>
    <t>Murgstrasse 12</t>
  </si>
  <si>
    <t>CHE-116.116.189</t>
  </si>
  <si>
    <t>Arenda AG</t>
  </si>
  <si>
    <t>Quellenweg 14</t>
  </si>
  <si>
    <t>CHE-241.241.307</t>
  </si>
  <si>
    <t>HTW GmbH</t>
  </si>
  <si>
    <t>CHE-145.145.763</t>
  </si>
  <si>
    <t>rudolph ag</t>
  </si>
  <si>
    <t>Waldeckstrasse 6</t>
  </si>
  <si>
    <t>G453100</t>
  </si>
  <si>
    <t>Grosshandel mit Automobilteilen und -zubehör</t>
  </si>
  <si>
    <t>CHE-115.115.588</t>
  </si>
  <si>
    <t>concept21 AG</t>
  </si>
  <si>
    <t>Burach 72</t>
  </si>
  <si>
    <t>CHE-115.115.439</t>
  </si>
  <si>
    <t>vetter's dienstleistungen</t>
  </si>
  <si>
    <t>Steingasse 36</t>
  </si>
  <si>
    <t>CHE-115.115.374</t>
  </si>
  <si>
    <t>Eggimann Zimmerei GmbH</t>
  </si>
  <si>
    <t>Heimigen 68 o</t>
  </si>
  <si>
    <t>CHE-115.115.674</t>
  </si>
  <si>
    <t>CHE-115.115.556</t>
  </si>
  <si>
    <t>Genossenschaft M+S Bauen und Wohnen</t>
  </si>
  <si>
    <t>c/o Dr. Markus Meyer</t>
  </si>
  <si>
    <t>CHE-115.115.220</t>
  </si>
  <si>
    <t>Leu Immobilien AG</t>
  </si>
  <si>
    <t>Jurastrasse 40</t>
  </si>
  <si>
    <t>CHE-108.108.452</t>
  </si>
  <si>
    <t>Heilpädagogische Hausgemeinschaft, Jürg + Irene Fischer-Gerber</t>
  </si>
  <si>
    <t>Bernstrasse 47</t>
  </si>
  <si>
    <t>CHE-108.108.126</t>
  </si>
  <si>
    <t>Scheidegger Polyart GmbH</t>
  </si>
  <si>
    <t>CHE-151.151.110</t>
  </si>
  <si>
    <t>AMS Transporte GmbH</t>
  </si>
  <si>
    <t>Föhrenweg 3</t>
  </si>
  <si>
    <t>CHE-103.103.226</t>
  </si>
  <si>
    <t>Kosmetikpraxis Buchsi, Gál Claudia</t>
  </si>
  <si>
    <t>CHE-386.386.733</t>
  </si>
  <si>
    <t>Stadt Taxi J. Giacometti</t>
  </si>
  <si>
    <t>CHE-100.100.628</t>
  </si>
  <si>
    <t>AA Services Kalensky</t>
  </si>
  <si>
    <t>Jurastrasse 26</t>
  </si>
  <si>
    <t>CHE-101.101.278</t>
  </si>
  <si>
    <t>Grüenseeli AG</t>
  </si>
  <si>
    <t>Römerhofweg 3</t>
  </si>
  <si>
    <t>CHE-109.109.944</t>
  </si>
  <si>
    <t>Diesel Fritz GmbH</t>
  </si>
  <si>
    <t>Murgenthalstrasse 41</t>
  </si>
  <si>
    <t>Vermicelles Brand AG</t>
  </si>
  <si>
    <t>Industriestrasse 39</t>
  </si>
  <si>
    <t>C108202</t>
  </si>
  <si>
    <t>Herstellung von Zuckerwaren</t>
  </si>
  <si>
    <t>CHE-108.108.974</t>
  </si>
  <si>
    <t>SFA Switzerland AG</t>
  </si>
  <si>
    <t>CHE-375.375.214</t>
  </si>
  <si>
    <t>G&amp;D Gips und Design GmbH</t>
  </si>
  <si>
    <t>CHE-115.115.665</t>
  </si>
  <si>
    <t>Wagner Gastronomie GmbH</t>
  </si>
  <si>
    <t>Schmiedengasse 1</t>
  </si>
  <si>
    <t>CHE-115.115.396</t>
  </si>
  <si>
    <t>Lila Coiffeur Nascarella</t>
  </si>
  <si>
    <t>CHE-115.115.954</t>
  </si>
  <si>
    <t>Stiftung für Alterswohnbauten</t>
  </si>
  <si>
    <t>ruch bau gmbh</t>
  </si>
  <si>
    <t>Niederdorf 1</t>
  </si>
  <si>
    <t>CHE-115.115.912</t>
  </si>
  <si>
    <t>STIFTUNG ALTERSWOHNUNGEN WYSSACHEN (ALWO)</t>
  </si>
  <si>
    <t>Gemeindehaus 118</t>
  </si>
  <si>
    <t>CHE-401.401.343</t>
  </si>
  <si>
    <t>G. Kopp Wiedlisbach AG</t>
  </si>
  <si>
    <t>Weissensteinstrasse 34</t>
  </si>
  <si>
    <t>CHE-115.115.916</t>
  </si>
  <si>
    <t>Böll Consulting</t>
  </si>
  <si>
    <t>Eschenstrasse 1</t>
  </si>
  <si>
    <t>CHE-115.115.637</t>
  </si>
  <si>
    <t>SSK Holding AG</t>
  </si>
  <si>
    <t>CHE-114.114.399</t>
  </si>
  <si>
    <t>Gehölzexperte.ch GmbH</t>
  </si>
  <si>
    <t>Mühlebergstrasse 22</t>
  </si>
  <si>
    <t>CHE-114.114.093</t>
  </si>
  <si>
    <t>Getränkehandel Wybrunne GmbH</t>
  </si>
  <si>
    <t>Jurastrasse 6</t>
  </si>
  <si>
    <t>G463402</t>
  </si>
  <si>
    <t>Grosshandel mit sonstigen Getränken</t>
  </si>
  <si>
    <t>CHE-114.114.996</t>
  </si>
  <si>
    <t>Auto Trend T. Zivkovic</t>
  </si>
  <si>
    <t>CHE-114.114.579</t>
  </si>
  <si>
    <t>NYMA fashion GmbH</t>
  </si>
  <si>
    <t>Langenthalstrasse 94</t>
  </si>
  <si>
    <t>Karim Ammann GmbH</t>
  </si>
  <si>
    <t>c/o Saed Basher Ammann</t>
  </si>
  <si>
    <t>CHE-114.114.021</t>
  </si>
  <si>
    <t>Rainbow Gastro GmbH</t>
  </si>
  <si>
    <t>CHE-114.114.990</t>
  </si>
  <si>
    <t>eventro gmbh</t>
  </si>
  <si>
    <t>N799002</t>
  </si>
  <si>
    <t>Erbringung sonstiger Reservierungsdienstleistungen</t>
  </si>
  <si>
    <t>CHE-114.114.858</t>
  </si>
  <si>
    <t>Reit- und Fahrsport Pegasus GmbH</t>
  </si>
  <si>
    <t>Gartenstrasse 10</t>
  </si>
  <si>
    <t>CHE-114.114.010</t>
  </si>
  <si>
    <t>MB Immobilien AG</t>
  </si>
  <si>
    <t>CHE-114.114.969</t>
  </si>
  <si>
    <t>Sivost GmbH</t>
  </si>
  <si>
    <t>Biblisweg 23</t>
  </si>
  <si>
    <t>CHE-114.114.734</t>
  </si>
  <si>
    <t>CHE-114.114.349</t>
  </si>
  <si>
    <t>Mobile-Zimmerei GmbH</t>
  </si>
  <si>
    <t>Tschäppel 57</t>
  </si>
  <si>
    <t>c/o Heiniger AG</t>
  </si>
  <si>
    <t>HHB Holding AG</t>
  </si>
  <si>
    <t>CHE-114.114.713</t>
  </si>
  <si>
    <t>HF-Mechanik AG</t>
  </si>
  <si>
    <t>CHE-401.401.212</t>
  </si>
  <si>
    <t>aura-fitness AG</t>
  </si>
  <si>
    <t>Hinteres Gässli 4</t>
  </si>
  <si>
    <t>CHE-467.467.543</t>
  </si>
  <si>
    <t>PROTON Personal GmbH</t>
  </si>
  <si>
    <t>CHE-426.426.622</t>
  </si>
  <si>
    <t>Chemi Wolf Feuerungskontrolle Inh. R. Landolf</t>
  </si>
  <si>
    <t>Burgdorfstrasse 6</t>
  </si>
  <si>
    <t>CHE-106.106.747</t>
  </si>
  <si>
    <t>Schreinerei Leuenberger</t>
  </si>
  <si>
    <t>Oberdorf 13</t>
  </si>
  <si>
    <t>CHE-108.108.915</t>
  </si>
  <si>
    <t>Röthlisberger Haustechnik AG</t>
  </si>
  <si>
    <t>Blumenstrasse 5a</t>
  </si>
  <si>
    <t>CHE-113.113.137</t>
  </si>
  <si>
    <t>HB-Verladetechnik &amp; Service GmbH</t>
  </si>
  <si>
    <t>Stockackerweg 10</t>
  </si>
  <si>
    <t>CHE-114.114.747</t>
  </si>
  <si>
    <t>IESS GmbH</t>
  </si>
  <si>
    <t>Unterer Falkenweg 7</t>
  </si>
  <si>
    <t>CHE-114.114.806</t>
  </si>
  <si>
    <t>SoundConcept Fritz Roth</t>
  </si>
  <si>
    <t>Dählenweg 6</t>
  </si>
  <si>
    <t>CHE-114.114.723</t>
  </si>
  <si>
    <t>FFT Farm- und Forstteam GmbH</t>
  </si>
  <si>
    <t>c/o Adrian Leu</t>
  </si>
  <si>
    <t>Hegenstrasse 27a</t>
  </si>
  <si>
    <t>CHE-114.114.700</t>
  </si>
  <si>
    <t>NUA AG</t>
  </si>
  <si>
    <t>Weissensteinstrasse 18</t>
  </si>
  <si>
    <t>CHE-114.114.984</t>
  </si>
  <si>
    <t>KMA GmbH</t>
  </si>
  <si>
    <t>Murgenthalstrasse 5</t>
  </si>
  <si>
    <t>CHE-114.114.239</t>
  </si>
  <si>
    <t>Ping An GmbH</t>
  </si>
  <si>
    <t>CHE-114.114.991</t>
  </si>
  <si>
    <t>NVT Neuhaus Versicherungs-Treuhand AG</t>
  </si>
  <si>
    <t>CHE-114.114.397</t>
  </si>
  <si>
    <t>Oehrli &amp; Schär Holding AG</t>
  </si>
  <si>
    <t>c/o Oehrli &amp; Schär Garage Carrosserie AG</t>
  </si>
  <si>
    <t>CHE-114.114.589</t>
  </si>
  <si>
    <t>Futuracare GmbH</t>
  </si>
  <si>
    <t>Stelliweg 15</t>
  </si>
  <si>
    <t>CHE-114.114.335</t>
  </si>
  <si>
    <t>Qualipreis.ch GmbH</t>
  </si>
  <si>
    <t>CHE-114.114.633</t>
  </si>
  <si>
    <t>MZ Immobilien AG</t>
  </si>
  <si>
    <t>c/o Bärtschi Werkzeuge &amp; Maschinen AG</t>
  </si>
  <si>
    <t>CHE-114.114.669</t>
  </si>
  <si>
    <t>Dreschen0800 GmbH</t>
  </si>
  <si>
    <t>CHE-114.114.623</t>
  </si>
  <si>
    <t>AVWF Schweiz GmbH</t>
  </si>
  <si>
    <t>CHE-114.114.893</t>
  </si>
  <si>
    <t>Daniel Rüfenacht Haustechnik GmbH</t>
  </si>
  <si>
    <t>Dorf 28</t>
  </si>
  <si>
    <t>CHE-114.114.163</t>
  </si>
  <si>
    <t>Luterbacher GmbH</t>
  </si>
  <si>
    <t>Bifangstrasse 4 c</t>
  </si>
  <si>
    <t>CHE-106.106.492</t>
  </si>
  <si>
    <t>Businesspark Langenthal AG</t>
  </si>
  <si>
    <t>CHE-464.464.609</t>
  </si>
  <si>
    <t>Zive AG</t>
  </si>
  <si>
    <t>Hinterer Rützelenweg 2</t>
  </si>
  <si>
    <t>CHE-104.104.499</t>
  </si>
  <si>
    <t>Mass und Norm Wälti GmbH</t>
  </si>
  <si>
    <t>Gaswerkstrasse 33/35</t>
  </si>
  <si>
    <t>CHE-114.114.885</t>
  </si>
  <si>
    <t>Garage R&amp;B Grossen, Inhaber René Grossen</t>
  </si>
  <si>
    <t>Inkwilstrasse 2 A</t>
  </si>
  <si>
    <t>CHE-114.114.266</t>
  </si>
  <si>
    <t>BK GmbH</t>
  </si>
  <si>
    <t>Bahnfeldstrasse 7</t>
  </si>
  <si>
    <t>CHE-114.114.779</t>
  </si>
  <si>
    <t>Garage Dreilinden, Marc Leuenberger</t>
  </si>
  <si>
    <t>Bützbergstrasse 103</t>
  </si>
  <si>
    <t>CHE-114.114.548</t>
  </si>
  <si>
    <t>Bürgisweyerbad AG</t>
  </si>
  <si>
    <t>Melchnaustrasse 40</t>
  </si>
  <si>
    <t>Vision Holz GmbH</t>
  </si>
  <si>
    <t>Sossaustrasse 13</t>
  </si>
  <si>
    <t>CHE-114.114.154</t>
  </si>
  <si>
    <t>Malerei Bärtschi AG</t>
  </si>
  <si>
    <t>Sonnhaldestrasse 2</t>
  </si>
  <si>
    <t>CHE-114.114.601</t>
  </si>
  <si>
    <t>Fasta GmbH</t>
  </si>
  <si>
    <t>c/o Ruth Renaud</t>
  </si>
  <si>
    <t>Wysshölzlistrasse 28 A</t>
  </si>
  <si>
    <t>CHE-114.114.756</t>
  </si>
  <si>
    <t>Dennis Borgeaud, Versicherungen und Vorsorge</t>
  </si>
  <si>
    <t>Felderhofstrasse 7</t>
  </si>
  <si>
    <t>CHE-114.114.389</t>
  </si>
  <si>
    <t>Maurerteam GmbH</t>
  </si>
  <si>
    <t>Brunngasse 15</t>
  </si>
  <si>
    <t>CHE-157.157.659</t>
  </si>
  <si>
    <t>HundMobil GmbH</t>
  </si>
  <si>
    <t>CHE-113.113.917</t>
  </si>
  <si>
    <t>LeCon GmbH</t>
  </si>
  <si>
    <t>Bipperstrasse 13</t>
  </si>
  <si>
    <t>CHE-113.113.834</t>
  </si>
  <si>
    <t>Aeschlimann Schleiftechnik GmbH</t>
  </si>
  <si>
    <t>Bernstrasse 22</t>
  </si>
  <si>
    <t>CHE-113.113.169</t>
  </si>
  <si>
    <t>Top green GmbH</t>
  </si>
  <si>
    <t>Geissgraben 20</t>
  </si>
  <si>
    <t>Staub Holzbau GmbH</t>
  </si>
  <si>
    <t>Aarwangenstrasse 35</t>
  </si>
  <si>
    <t>CHE-113.113.592</t>
  </si>
  <si>
    <t>RW Mega Budget Markt GmbH</t>
  </si>
  <si>
    <t>c/o Roland Weill</t>
  </si>
  <si>
    <t>Buchlistrasse 22 b</t>
  </si>
  <si>
    <t>CHE-113.113.879</t>
  </si>
  <si>
    <t>GU-Handels-GmbH</t>
  </si>
  <si>
    <t>c/o Bruno Geiser</t>
  </si>
  <si>
    <t>Oberdorf 10</t>
  </si>
  <si>
    <t>CHE-113.113.634</t>
  </si>
  <si>
    <t>Thomi Holding AG</t>
  </si>
  <si>
    <t>CHE-113.113.984</t>
  </si>
  <si>
    <t>König Bau GmbH</t>
  </si>
  <si>
    <t>Oberdorfstrasse 32</t>
  </si>
  <si>
    <t>CHE-113.113.812</t>
  </si>
  <si>
    <t>Schneeberger Heinz</t>
  </si>
  <si>
    <t>Garten &amp; Dekor Alexandra Bürki</t>
  </si>
  <si>
    <t>Krautgasse 8</t>
  </si>
  <si>
    <t>CHE-132.132.083</t>
  </si>
  <si>
    <t>BIELAN Immobilien AG</t>
  </si>
  <si>
    <t>CHE-115.115.218</t>
  </si>
  <si>
    <t>SAM Sales and Marketing GmbH</t>
  </si>
  <si>
    <t>Simon Uebersax</t>
  </si>
  <si>
    <t>CHE-157.157.362</t>
  </si>
  <si>
    <t>kreativtraining.ch gmbh</t>
  </si>
  <si>
    <t>Klusstrasse 14</t>
  </si>
  <si>
    <t>CHE-103.103.510</t>
  </si>
  <si>
    <t>Firma Kropf</t>
  </si>
  <si>
    <t>Fabrikstrasse 9</t>
  </si>
  <si>
    <t>CHE-113.113.607</t>
  </si>
  <si>
    <t>Vorstadt Garage Walter Heiniger</t>
  </si>
  <si>
    <t>CHE-113.113.906</t>
  </si>
  <si>
    <t>Print Press Marcel Hammel</t>
  </si>
  <si>
    <t>Thörigenstrasse 22</t>
  </si>
  <si>
    <t>CHE-113.113.841</t>
  </si>
  <si>
    <t>Leutech Systemintegration GmbH</t>
  </si>
  <si>
    <t>Brunnackerweg 10</t>
  </si>
  <si>
    <t>CHE-113.113.055</t>
  </si>
  <si>
    <t>Schwarz Bau GmbH</t>
  </si>
  <si>
    <t>Ahornstrasse 37</t>
  </si>
  <si>
    <t>CHE-113.113.986</t>
  </si>
  <si>
    <t>Susanna-Cohen-Stiftung</t>
  </si>
  <si>
    <t>K649202</t>
  </si>
  <si>
    <t>Sonstige Spezialkreditinstitute</t>
  </si>
  <si>
    <t>CHE-113.113.992</t>
  </si>
  <si>
    <t>Event Workers GmbH</t>
  </si>
  <si>
    <t>N801000</t>
  </si>
  <si>
    <t>Private Wach- und Sicherheitsdienste</t>
  </si>
  <si>
    <t>CHE-113.113.107</t>
  </si>
  <si>
    <t>Carmotec GmbH</t>
  </si>
  <si>
    <t>CHE-113.113.619</t>
  </si>
  <si>
    <t>FRIFO GmbH</t>
  </si>
  <si>
    <t>Kleinholz 9</t>
  </si>
  <si>
    <t>C109200</t>
  </si>
  <si>
    <t>Herstellung von Futtermitteln für sonstige Tiere</t>
  </si>
  <si>
    <t>CHE-113.113.452</t>
  </si>
  <si>
    <t>M. Jufer AG</t>
  </si>
  <si>
    <t>Langenthalstrasse 88</t>
  </si>
  <si>
    <t>CHE-113.113.689</t>
  </si>
  <si>
    <t>FiBaGeNa GmbH</t>
  </si>
  <si>
    <t>Widisberg 408</t>
  </si>
  <si>
    <t>CHE-113.113.672</t>
  </si>
  <si>
    <t>Fenster-Haus AG</t>
  </si>
  <si>
    <t>CHE-113.113.681</t>
  </si>
  <si>
    <t>Schreinerei Armin Leuenberger</t>
  </si>
  <si>
    <t>Tulpenweg 13</t>
  </si>
  <si>
    <t>CHE-113.113.675</t>
  </si>
  <si>
    <t>Christen Modelleisenbahn und Bahnsupport</t>
  </si>
  <si>
    <t>Hofstrasse 17</t>
  </si>
  <si>
    <t>CHE-113.113.381</t>
  </si>
  <si>
    <t>Jakob Health + Business</t>
  </si>
  <si>
    <t>Niederönzstrasse 40</t>
  </si>
  <si>
    <t>CHE-113.113.436</t>
  </si>
  <si>
    <t>Speedy's Expressdienst Zürcher &amp; Co.</t>
  </si>
  <si>
    <t>Eriswilstrasse 48m</t>
  </si>
  <si>
    <t>CHE-112.112.190</t>
  </si>
  <si>
    <t>Schenk Maler- und Gipsergeschäft GmbH</t>
  </si>
  <si>
    <t>CHE-112.112.935</t>
  </si>
  <si>
    <t>Nyala AG</t>
  </si>
  <si>
    <t>CHE-112.112.424</t>
  </si>
  <si>
    <t>Hug Mühlen- und Maschinenbau AG</t>
  </si>
  <si>
    <t>Zürichstrasse 35</t>
  </si>
  <si>
    <t>CHE-112.112.130</t>
  </si>
  <si>
    <t>Rinaldo Emmenegger</t>
  </si>
  <si>
    <t>Lagerstrasse 12 e</t>
  </si>
  <si>
    <t>C256203</t>
  </si>
  <si>
    <t>Schmieden</t>
  </si>
  <si>
    <t>CHE-112.112.212</t>
  </si>
  <si>
    <t>Wegmüller Hauswartungen GmbH</t>
  </si>
  <si>
    <t>Scharnagelnstrasse 3a</t>
  </si>
  <si>
    <t>CHE-112.112.188</t>
  </si>
  <si>
    <t>rougemarketing Daniel Roth</t>
  </si>
  <si>
    <t>CHE-112.112.165</t>
  </si>
  <si>
    <t>Egger Bau GmbH</t>
  </si>
  <si>
    <t>Scharnagelnstrasse 8</t>
  </si>
  <si>
    <t>CHE-112.112.815</t>
  </si>
  <si>
    <t>Meyer Fenster und Storen AG</t>
  </si>
  <si>
    <t>Sandackerweg 35</t>
  </si>
  <si>
    <t>CHE-112.112.998</t>
  </si>
  <si>
    <t>MMC Marketing &amp; Media Concept GmbH</t>
  </si>
  <si>
    <t>Quellenweg 19</t>
  </si>
  <si>
    <t>CHE-112.112.364</t>
  </si>
  <si>
    <t>von arx garten + landschaft</t>
  </si>
  <si>
    <t>Brügglisackerweg 20</t>
  </si>
  <si>
    <t>CHE-112.112.326</t>
  </si>
  <si>
    <t>SKH Di Rosa GmbH</t>
  </si>
  <si>
    <t>Q879001</t>
  </si>
  <si>
    <t>Wohnheime für Kinder und Jugendliche</t>
  </si>
  <si>
    <t>CHE-112.112.151</t>
  </si>
  <si>
    <t>P. Breuers Generalbau</t>
  </si>
  <si>
    <t>CHE-112.112.886</t>
  </si>
  <si>
    <t>Ditesco GmbH</t>
  </si>
  <si>
    <t>Farnsbergstrasse 85</t>
  </si>
  <si>
    <t>CHE-111.111.669</t>
  </si>
  <si>
    <t>Apicius AG</t>
  </si>
  <si>
    <t>CHE-112.112.166</t>
  </si>
  <si>
    <t>Isitone GmbH</t>
  </si>
  <si>
    <t>Hölzlistrasse 31</t>
  </si>
  <si>
    <t>CHE-112.112.077</t>
  </si>
  <si>
    <t>Wüthrich Landmaschinen GmbH</t>
  </si>
  <si>
    <t>Obere Halden 26</t>
  </si>
  <si>
    <t>CHE-112.112.178</t>
  </si>
  <si>
    <t>Amia, Knüsel</t>
  </si>
  <si>
    <t>CHE-112.112.826</t>
  </si>
  <si>
    <t>Hohl Beat</t>
  </si>
  <si>
    <t>Meisenweg 5</t>
  </si>
  <si>
    <t>CHE-112.112.631</t>
  </si>
  <si>
    <t>Elektro Wüthrich + Flückiger GmbH</t>
  </si>
  <si>
    <t>CHE-112.112.542</t>
  </si>
  <si>
    <t>Christian Heiniger AG</t>
  </si>
  <si>
    <t>CHE-112.112.371</t>
  </si>
  <si>
    <t>Geschenkshop-Ideal H.R. Frei</t>
  </si>
  <si>
    <t>CHE-114.114.866</t>
  </si>
  <si>
    <t>NORFI Service GmbH</t>
  </si>
  <si>
    <t>CHE-112.112.223</t>
  </si>
  <si>
    <t>Dorflade/Bistro Veronika Hasler</t>
  </si>
  <si>
    <t>Obigasse 7</t>
  </si>
  <si>
    <t>CHE-112.112.150</t>
  </si>
  <si>
    <t>Zahntechnik Stupan GmbH</t>
  </si>
  <si>
    <t>Marktgasse 46</t>
  </si>
  <si>
    <t>Jorns Holding AG</t>
  </si>
  <si>
    <t>c/o Jorns AG</t>
  </si>
  <si>
    <t>CHE-112.112.189</t>
  </si>
  <si>
    <t>Institut für forensische Psychiatrie und Psychotherapie IFPP, Dr. med. Bünyamin I. Yasmin</t>
  </si>
  <si>
    <t>Wiesenstrasse 39</t>
  </si>
  <si>
    <t>CHE-112.112.079</t>
  </si>
  <si>
    <t>samuel-gerber.ch AG</t>
  </si>
  <si>
    <t>c/o Dr. Samuel Gerber</t>
  </si>
  <si>
    <t>Beundenweg 27</t>
  </si>
  <si>
    <t>CHE-112.112.073</t>
  </si>
  <si>
    <t>Beta Markt GmbH</t>
  </si>
  <si>
    <t>Brauihof 22</t>
  </si>
  <si>
    <t>CHE-112.112.713</t>
  </si>
  <si>
    <t>Schulthess Holzbau AG</t>
  </si>
  <si>
    <t>Madiswilstrasse 19</t>
  </si>
  <si>
    <t>CHE-112.112.287</t>
  </si>
  <si>
    <t>Hofmann Servicetechnik AG</t>
  </si>
  <si>
    <t>Reinhard Komplettsysteme</t>
  </si>
  <si>
    <t>CHE-112.112.517</t>
  </si>
  <si>
    <t>COMSUPPORT P. Romano</t>
  </si>
  <si>
    <t>Eiche 48</t>
  </si>
  <si>
    <t>CHE-111.111.361</t>
  </si>
  <si>
    <t>Arbeiten rund ums Haus GmbH</t>
  </si>
  <si>
    <t>Alpenweg 4</t>
  </si>
  <si>
    <t>CHE-111.111.793</t>
  </si>
  <si>
    <t>Martin Oberli Montagen und Innenausbau GmbH</t>
  </si>
  <si>
    <t>Gabismatt 21</t>
  </si>
  <si>
    <t>CHE-111.111.368</t>
  </si>
  <si>
    <t>U. Sollberger Schreinerei GmbH</t>
  </si>
  <si>
    <t>Möösli 56 C</t>
  </si>
  <si>
    <t>CHE-111.111.947</t>
  </si>
  <si>
    <t>Sollberger Bau GmbH</t>
  </si>
  <si>
    <t>Bachweg 5</t>
  </si>
  <si>
    <t>CHE-110.110.141</t>
  </si>
  <si>
    <t>Garage Greub AG Riedtwil</t>
  </si>
  <si>
    <t>Hauptstrasse 20</t>
  </si>
  <si>
    <t>Simon Bichsel Holzbau GmbH</t>
  </si>
  <si>
    <t>CHE-110.110.653</t>
  </si>
  <si>
    <t>A. Röthlisberger AG</t>
  </si>
  <si>
    <t>CHE-110.110.647</t>
  </si>
  <si>
    <t>42technology AG</t>
  </si>
  <si>
    <t>CHE-110.110.832</t>
  </si>
  <si>
    <t>AFK-Technik GmbH</t>
  </si>
  <si>
    <t>CHE-110.110.895</t>
  </si>
  <si>
    <t>Stiftung Altes Schützenhaus Aarwangen</t>
  </si>
  <si>
    <t>c/o Ernst Lanz</t>
  </si>
  <si>
    <t>Sonnhaldestrasse 61</t>
  </si>
  <si>
    <t>R910300</t>
  </si>
  <si>
    <t>Betrieb von historischen Stätten und Gebäuden und ähnlichen Attraktionen</t>
  </si>
  <si>
    <t>CHE-110.110.913</t>
  </si>
  <si>
    <t>RS Export Services GmbH</t>
  </si>
  <si>
    <t>CHE-110.110.155</t>
  </si>
  <si>
    <t>Kilic + Kilic und Co.</t>
  </si>
  <si>
    <t>Bahnhofstrasse 10</t>
  </si>
  <si>
    <t>CHE-110.110.355</t>
  </si>
  <si>
    <t>W. Grossenbacher</t>
  </si>
  <si>
    <t>Brunnenplatz 10</t>
  </si>
  <si>
    <t>CHE-110.110.367</t>
  </si>
  <si>
    <t>Ueli Gabi</t>
  </si>
  <si>
    <t>Höhenweg 32</t>
  </si>
  <si>
    <t>CHE-110.110.350</t>
  </si>
  <si>
    <t>Maria Flückiger-Zingerle</t>
  </si>
  <si>
    <t>CHE-110.110.321</t>
  </si>
  <si>
    <t>Hans Sollberger</t>
  </si>
  <si>
    <t>CHE-110.110.481</t>
  </si>
  <si>
    <t>Stiftung SRO und dahlia oberaargau</t>
  </si>
  <si>
    <t>c/o SRO AG</t>
  </si>
  <si>
    <t>CHE-110.110.734</t>
  </si>
  <si>
    <t>Stiftung Jugend Herzogenbuchsee</t>
  </si>
  <si>
    <t>I552001</t>
  </si>
  <si>
    <t>Ferienwohnungen, Ferienhäuser</t>
  </si>
  <si>
    <t>CHE-110.110.352</t>
  </si>
  <si>
    <t>Jürg Andreas Stutz Beratung und Entwicklung</t>
  </si>
  <si>
    <t>Melchnaustrasse 59 A</t>
  </si>
  <si>
    <t>Lagerstrasse Immobilien AG</t>
  </si>
  <si>
    <t>Lagerstrasse 38</t>
  </si>
  <si>
    <t>CHE-110.110.677</t>
  </si>
  <si>
    <t>Personalfürsorgestiftung der Firma Roth &amp; Cie AG</t>
  </si>
  <si>
    <t>c/o Roth &amp; Cie AG</t>
  </si>
  <si>
    <t>CHE-110.110.152</t>
  </si>
  <si>
    <t>ELA Holding AG</t>
  </si>
  <si>
    <t>CHE-110.110.087</t>
  </si>
  <si>
    <t>ESO-Zentrum GmbH</t>
  </si>
  <si>
    <t>CHE-110.110.226</t>
  </si>
  <si>
    <t>MAR - Movement against Atrocities and Repression</t>
  </si>
  <si>
    <t>CHE-110.110.243</t>
  </si>
  <si>
    <t>Haller Glasbau GmbH</t>
  </si>
  <si>
    <t>Valentin Nüeschweg 17</t>
  </si>
  <si>
    <t>Frima Wohnmobil und Caravan, Markus Friederich</t>
  </si>
  <si>
    <t>FSG Motorsport AG</t>
  </si>
  <si>
    <t>Farnsbergstrasse 1</t>
  </si>
  <si>
    <t>CHE-110.110.015</t>
  </si>
  <si>
    <t>LEM Consulting GmbH</t>
  </si>
  <si>
    <t>BSV Treuhand AG</t>
  </si>
  <si>
    <t>Krippenstrasse 6</t>
  </si>
  <si>
    <t>CHE-110.110.180</t>
  </si>
  <si>
    <t>MasterInvest AG</t>
  </si>
  <si>
    <t>Dorfgasse 66</t>
  </si>
  <si>
    <t>CHE-110.110.068</t>
  </si>
  <si>
    <t>Prof. Dr. Reto Steiner Organisationsberatung</t>
  </si>
  <si>
    <t>Turnhallenstrasse 8</t>
  </si>
  <si>
    <t>APdie, Allenbach Peter design invent engineering</t>
  </si>
  <si>
    <t>Galmisweg 24</t>
  </si>
  <si>
    <t>CHE-109.109.445</t>
  </si>
  <si>
    <t>Klinik Wysshölzli, Marie Sollberger-Stiftung</t>
  </si>
  <si>
    <t>Waldrandweg 19</t>
  </si>
  <si>
    <t>Q872001</t>
  </si>
  <si>
    <t>Institutionen für Suchtkranke</t>
  </si>
  <si>
    <t>CHE-109.109.834</t>
  </si>
  <si>
    <t>Bistro Selimi GmbH</t>
  </si>
  <si>
    <t>Spitalgasse 12</t>
  </si>
  <si>
    <t>CHE-109.109.701</t>
  </si>
  <si>
    <t>baustil.ch gmbh</t>
  </si>
  <si>
    <t>Weiherweg 2</t>
  </si>
  <si>
    <t>CHE-109.109.968</t>
  </si>
  <si>
    <t>Reiselade Huttwil GmbH</t>
  </si>
  <si>
    <t>CHE-109.109.983</t>
  </si>
  <si>
    <t>Grütter Sanitär und Heizung GmbH</t>
  </si>
  <si>
    <t>Postweg 34</t>
  </si>
  <si>
    <t>CHE-109.109.199</t>
  </si>
  <si>
    <t>City Langenthal AG</t>
  </si>
  <si>
    <t>CHE-109.109.392</t>
  </si>
  <si>
    <t>Stiftung Viktoria Frei</t>
  </si>
  <si>
    <t>c/o Rudolf Steiner-Schule</t>
  </si>
  <si>
    <t>Ringstrasse 30</t>
  </si>
  <si>
    <t>CHE-109.109.870</t>
  </si>
  <si>
    <t>Vorsorgestiftung der KADI AG</t>
  </si>
  <si>
    <t>c/o KADI AG</t>
  </si>
  <si>
    <t>CHE-109.109.877</t>
  </si>
  <si>
    <t>Hügli Kommunikation</t>
  </si>
  <si>
    <t>Madiswilstrasse 122</t>
  </si>
  <si>
    <t>CHE-109.109.887</t>
  </si>
  <si>
    <t>Obi's Express GmbH</t>
  </si>
  <si>
    <t>Stierenweidstrasse 8</t>
  </si>
  <si>
    <t>CHE-109.109.938</t>
  </si>
  <si>
    <t>Buffetto AG</t>
  </si>
  <si>
    <t>Dorfstrasse 109</t>
  </si>
  <si>
    <t>CHE-109.109.795</t>
  </si>
  <si>
    <t>HU Immobilien AG</t>
  </si>
  <si>
    <t>c/o Ulrich Wyss</t>
  </si>
  <si>
    <t>Zürichstrasse 11</t>
  </si>
  <si>
    <t>CHE-109.109.127</t>
  </si>
  <si>
    <t>patrickpartner ag</t>
  </si>
  <si>
    <t>CHE-109.109.400</t>
  </si>
  <si>
    <t>NONPA AG</t>
  </si>
  <si>
    <t>Fenchackerweg 2</t>
  </si>
  <si>
    <t>CHE-109.109.446</t>
  </si>
  <si>
    <t>Wohngemeinschaft Gässli GmbH</t>
  </si>
  <si>
    <t>Weidstrasse 6</t>
  </si>
  <si>
    <t>CHE-109.109.864</t>
  </si>
  <si>
    <t>Sollberger Bauakkord GmbH</t>
  </si>
  <si>
    <t>Hintergasse 7</t>
  </si>
  <si>
    <t>Dental-Service Philipp Reinmann</t>
  </si>
  <si>
    <t>Orbach 101</t>
  </si>
  <si>
    <t>CHE-109.109.613</t>
  </si>
  <si>
    <t>Philip Beyrer Motorsport GmbH</t>
  </si>
  <si>
    <t>CHE-109.109.154</t>
  </si>
  <si>
    <t>Wild Gartenbau AG</t>
  </si>
  <si>
    <t>Friedhofstrasse 31</t>
  </si>
  <si>
    <t>CHE-109.109.695</t>
  </si>
  <si>
    <t>Albatech AG</t>
  </si>
  <si>
    <t>Brunngasse 19</t>
  </si>
  <si>
    <t>CHE-109.109.019</t>
  </si>
  <si>
    <t>Steel Dreams Bodypiercing, Th. Gloor</t>
  </si>
  <si>
    <t>Marktgasse 48</t>
  </si>
  <si>
    <t>CHE-109.109.167</t>
  </si>
  <si>
    <t>Merlinda GmbH</t>
  </si>
  <si>
    <t>Weissacherweg 46</t>
  </si>
  <si>
    <t>CHE-109.109.748</t>
  </si>
  <si>
    <t>KS Theater Produktionen GmbH</t>
  </si>
  <si>
    <t>Bleienbachstrasse 26a</t>
  </si>
  <si>
    <t>CHE-198.198.786</t>
  </si>
  <si>
    <t>Aura Sport GmbH</t>
  </si>
  <si>
    <t>CHE-109.109.504</t>
  </si>
  <si>
    <t>MHS Feng Shui Beratungen Scheidegger</t>
  </si>
  <si>
    <t>Welschlandstrasse 2</t>
  </si>
  <si>
    <t>CHE-108.108.345</t>
  </si>
  <si>
    <t>Eco-Reinigungen, Angelina Djordjevic</t>
  </si>
  <si>
    <t>Gurtenenfeldweg 29</t>
  </si>
  <si>
    <t>CHE-108.108.699</t>
  </si>
  <si>
    <t>Gotthard Plüss-Schär</t>
  </si>
  <si>
    <t>Allmendgasse 18</t>
  </si>
  <si>
    <t>G462300</t>
  </si>
  <si>
    <t>Grosshandel mit lebenden Tieren</t>
  </si>
  <si>
    <t>CHE-108.108.006</t>
  </si>
  <si>
    <t>AKTIVA Wohnsiedlung AG</t>
  </si>
  <si>
    <t>CHE-108.108.797</t>
  </si>
  <si>
    <t>Känzig Forstunternehmen</t>
  </si>
  <si>
    <t>Schorenstrasse 9</t>
  </si>
  <si>
    <t>CHE-108.108.495</t>
  </si>
  <si>
    <t>Erich Hasler</t>
  </si>
  <si>
    <t>Bützbergstrasse 87</t>
  </si>
  <si>
    <t>CHE-108.108.437</t>
  </si>
  <si>
    <t>Hans Rudolf Stalder Gastroberatung</t>
  </si>
  <si>
    <t>Aarwangenstrasse 14</t>
  </si>
  <si>
    <t>CHE-108.108.429</t>
  </si>
  <si>
    <t>Industriedesign Peter Ramseier</t>
  </si>
  <si>
    <t>Steinrainweg 2</t>
  </si>
  <si>
    <t>CHE-108.108.771</t>
  </si>
  <si>
    <t>Frölich &amp; Co.</t>
  </si>
  <si>
    <t>Biblisweg 21</t>
  </si>
  <si>
    <t>Ringstrasse 8</t>
  </si>
  <si>
    <t>CHE-108.108.859</t>
  </si>
  <si>
    <t>Wegmüller Optik AG</t>
  </si>
  <si>
    <t>CHE-388.388.948</t>
  </si>
  <si>
    <t>Amstutz-Scheidegger Holding GmbH</t>
  </si>
  <si>
    <t>CHE-108.108.468</t>
  </si>
  <si>
    <t>Metzgerei Kaufmann GmbH Aarwangen</t>
  </si>
  <si>
    <t>Langenthalstrasse 28</t>
  </si>
  <si>
    <t>CHE-209.209.881</t>
  </si>
  <si>
    <t>Physiotherapie Spotti GmbH</t>
  </si>
  <si>
    <t>CHE-236.236.948</t>
  </si>
  <si>
    <t>Antcas AG</t>
  </si>
  <si>
    <t>CHE-108.108.369</t>
  </si>
  <si>
    <t>Boden Raum Handwerk, Gerber</t>
  </si>
  <si>
    <t>Schulhausstrasse 7</t>
  </si>
  <si>
    <t>CHE-108.108.348</t>
  </si>
  <si>
    <t>CHE-108.108.303</t>
  </si>
  <si>
    <t>Rudolf Ulmann AG</t>
  </si>
  <si>
    <t>CHE-108.108.067</t>
  </si>
  <si>
    <t>Daniel Minder, Sortimel Apparatebau</t>
  </si>
  <si>
    <t>Marktgasse 7 d</t>
  </si>
  <si>
    <t>CHE-108.108.081</t>
  </si>
  <si>
    <t>Gasthof Leuenberger AG Wangenried</t>
  </si>
  <si>
    <t>CHE-108.108.023</t>
  </si>
  <si>
    <t>Gärtnerei Grütter Röthenbach</t>
  </si>
  <si>
    <t>CHE-108.108.207</t>
  </si>
  <si>
    <t>LARUGRO AG</t>
  </si>
  <si>
    <t>Aarwangenstrasse 65</t>
  </si>
  <si>
    <t>CHE-114.114.999</t>
  </si>
  <si>
    <t>RIS PARTNER Treuhand Langenthal AG</t>
  </si>
  <si>
    <t>CHE-110.110.601</t>
  </si>
  <si>
    <t>Keller Forstmaschinen AG</t>
  </si>
  <si>
    <t>Moselenweg 7</t>
  </si>
  <si>
    <t>CHE-108.108.299</t>
  </si>
  <si>
    <t>Schreinerei Alfred Wyss AG</t>
  </si>
  <si>
    <t>Wangenstrasse 44</t>
  </si>
  <si>
    <t>CHE-108.108.671</t>
  </si>
  <si>
    <t>Bernhard Jost</t>
  </si>
  <si>
    <t>Hauptstrasse 26</t>
  </si>
  <si>
    <t>CHE-107.107.921</t>
  </si>
  <si>
    <t>CHE-107.107.824</t>
  </si>
  <si>
    <t>Mathys H.R. AG</t>
  </si>
  <si>
    <t>Dählenweg 13</t>
  </si>
  <si>
    <t>CHE-107.107.484</t>
  </si>
  <si>
    <t>Armin Adam GmbH</t>
  </si>
  <si>
    <t>Altachenweg 3</t>
  </si>
  <si>
    <t>CHE-107.107.013</t>
  </si>
  <si>
    <t>Käser Martin</t>
  </si>
  <si>
    <t>Langenthalstrasse 31</t>
  </si>
  <si>
    <t>CHE-107.107.829</t>
  </si>
  <si>
    <t>EBO Mikromechanik AG</t>
  </si>
  <si>
    <t>Industriestrasse 28</t>
  </si>
  <si>
    <t>CHE-107.107.746</t>
  </si>
  <si>
    <t>Rieder Invest AG</t>
  </si>
  <si>
    <t>CHE-107.107.140</t>
  </si>
  <si>
    <t>Wohnbaugesellschaft Langeten AG</t>
  </si>
  <si>
    <t>CHE-107.107.379</t>
  </si>
  <si>
    <t>Getränkehaus Langenthal GmbH</t>
  </si>
  <si>
    <t>Mittelstrasse 21</t>
  </si>
  <si>
    <t>CHE-107.107.809</t>
  </si>
  <si>
    <t>accorda Musikverlag / Edition Thöni Inhaber Steiner-Zeller</t>
  </si>
  <si>
    <t>Sternenstrasse 3</t>
  </si>
  <si>
    <t>CHE-107.107.658</t>
  </si>
  <si>
    <t>Flying Roger Mühlemann</t>
  </si>
  <si>
    <t>Friedhofweg 32</t>
  </si>
  <si>
    <t>CHE-107.107.493</t>
  </si>
  <si>
    <t>Studer Startnummern GmbH</t>
  </si>
  <si>
    <t>Buetzbergstrasse 101</t>
  </si>
  <si>
    <t>CHE-107.107.756</t>
  </si>
  <si>
    <t>APR Peter Reich</t>
  </si>
  <si>
    <t>CHE-107.107.574</t>
  </si>
  <si>
    <t>Kernholz AG</t>
  </si>
  <si>
    <t>SIAG SCHWARZ AG</t>
  </si>
  <si>
    <t>untere Einschlagstrasse 3</t>
  </si>
  <si>
    <t>CHE-107.107.951</t>
  </si>
  <si>
    <t>Kleeb Sanitär GmbH</t>
  </si>
  <si>
    <t>CHE-107.107.030</t>
  </si>
  <si>
    <t>Awero AG</t>
  </si>
  <si>
    <t>Chilefeldstrasse 8</t>
  </si>
  <si>
    <t>CHE-107.107.591</t>
  </si>
  <si>
    <t>Herrmann und Zulliger AG</t>
  </si>
  <si>
    <t>Sonnhalde 79</t>
  </si>
  <si>
    <t>CHE-107.107.776</t>
  </si>
  <si>
    <t>Hans Lüthi</t>
  </si>
  <si>
    <t>Lindenholz 2 f</t>
  </si>
  <si>
    <t>CHE-111.111.698</t>
  </si>
  <si>
    <t>Rudolf Steiner Schule Oberaargau</t>
  </si>
  <si>
    <t>P852003</t>
  </si>
  <si>
    <t>Obligatorische Schulen a. n. g.</t>
  </si>
  <si>
    <t>CHE-107.107.101</t>
  </si>
  <si>
    <t>HVAO GmbH</t>
  </si>
  <si>
    <t>Höhestrasse 3</t>
  </si>
  <si>
    <t>CHE-107.107.757</t>
  </si>
  <si>
    <t>EBZ Zeller</t>
  </si>
  <si>
    <t>CHE-107.107.413</t>
  </si>
  <si>
    <t>Nyffenegger AG</t>
  </si>
  <si>
    <t>c/o Sägerei</t>
  </si>
  <si>
    <t>CHE-107.107.301</t>
  </si>
  <si>
    <t>Käsereigenossenschaft Gondiswil</t>
  </si>
  <si>
    <t>CHE-107.107.813</t>
  </si>
  <si>
    <t>Autohus Bipp AG</t>
  </si>
  <si>
    <t>Bielstrasse 13</t>
  </si>
  <si>
    <t>CHE-107.107.747</t>
  </si>
  <si>
    <t>Elektro Hippenmeyer AG</t>
  </si>
  <si>
    <t>CHE-107.107.881</t>
  </si>
  <si>
    <t>Marti Inneneinrichtungen AG</t>
  </si>
  <si>
    <t>E. Schär AG</t>
  </si>
  <si>
    <t>CHE-107.107.557</t>
  </si>
  <si>
    <t>Garage Lüthi AG Hermiswil</t>
  </si>
  <si>
    <t>Hauptstrasse 83</t>
  </si>
  <si>
    <t>CHE-107.107.801</t>
  </si>
  <si>
    <t>Urs Meyer Gerüstbau GmbH</t>
  </si>
  <si>
    <t>CHE-107.107.729</t>
  </si>
  <si>
    <t>Minder GmbH Wyssachen</t>
  </si>
  <si>
    <t>Dorf 113</t>
  </si>
  <si>
    <t>CHE-107.107.528</t>
  </si>
  <si>
    <t>Ingold Schreinerei AG</t>
  </si>
  <si>
    <t>Weierwaldweg 11</t>
  </si>
  <si>
    <t>CHE-107.107.742</t>
  </si>
  <si>
    <t>Grastrocknerei Huttwil, Fritz Spichiger</t>
  </si>
  <si>
    <t>Schweinbrunnen 7/A</t>
  </si>
  <si>
    <t>CHE-107.107.118</t>
  </si>
  <si>
    <t>Peitag AG</t>
  </si>
  <si>
    <t>c/o W. Pfister</t>
  </si>
  <si>
    <t>CHE-106.106.352</t>
  </si>
  <si>
    <t>Megacomp Computers GmbH</t>
  </si>
  <si>
    <t>CHE-106.106.431</t>
  </si>
  <si>
    <t>Bützer Kühlservice</t>
  </si>
  <si>
    <t>Hofackerweg 7</t>
  </si>
  <si>
    <t>CHE-106.106.915</t>
  </si>
  <si>
    <t>Bero AG, Heizsysteme</t>
  </si>
  <si>
    <t>Oberfeldweg 5</t>
  </si>
  <si>
    <t>EBUS AG</t>
  </si>
  <si>
    <t>Sängeliweg 53</t>
  </si>
  <si>
    <t>CHE-106.106.151</t>
  </si>
  <si>
    <t>Hertig Ingenieure AG</t>
  </si>
  <si>
    <t>Waldhofstrasse 5</t>
  </si>
  <si>
    <t>CHE-106.106.060</t>
  </si>
  <si>
    <t>Kalan AG</t>
  </si>
  <si>
    <t>CHE-106.106.004</t>
  </si>
  <si>
    <t>Stiftung für ganzheitliche Medizin</t>
  </si>
  <si>
    <t>Weissensteinstrasse 30</t>
  </si>
  <si>
    <t>Q861002</t>
  </si>
  <si>
    <t>Spezialkliniken</t>
  </si>
  <si>
    <t>CHE-106.106.905</t>
  </si>
  <si>
    <t>Stiftung Ferienheim Oberwald</t>
  </si>
  <si>
    <t>c/o Stadt Langenthal, Präsidialabteilung</t>
  </si>
  <si>
    <t>CHE-105.105.275</t>
  </si>
  <si>
    <t>Peter Meier</t>
  </si>
  <si>
    <t>CHE-105.105.785</t>
  </si>
  <si>
    <t>Bader AG Büro Design</t>
  </si>
  <si>
    <t>G464901</t>
  </si>
  <si>
    <t>Grosshandel mit Schreibwaren, Büchern und Zeitungen</t>
  </si>
  <si>
    <t>Langenthalstrasse 85</t>
  </si>
  <si>
    <t>Elmar AG</t>
  </si>
  <si>
    <t>CHE-105.105.994</t>
  </si>
  <si>
    <t>Kirchhofer Gewächshaustechnik AG</t>
  </si>
  <si>
    <t>Dennliweg 39</t>
  </si>
  <si>
    <t>CHE-105.105.196</t>
  </si>
  <si>
    <t>Jost Bedachungen GmbH</t>
  </si>
  <si>
    <t>Hauptstrasse 71</t>
  </si>
  <si>
    <t>CHE-105.105.021</t>
  </si>
  <si>
    <t>beklebt.ch GmbH</t>
  </si>
  <si>
    <t>Bernstrasse 11</t>
  </si>
  <si>
    <t>C181204</t>
  </si>
  <si>
    <t>Sonstiges Drucken a. n. g.</t>
  </si>
  <si>
    <t>CHE-105.105.854</t>
  </si>
  <si>
    <t>Maurergeschäft Martin Gerber GmbH</t>
  </si>
  <si>
    <t>Grossmattstrasse 10</t>
  </si>
  <si>
    <t>CHE-105.105.654</t>
  </si>
  <si>
    <t>Schenk Storen GmbH</t>
  </si>
  <si>
    <t>CHE-105.105.127</t>
  </si>
  <si>
    <t>Artification AG</t>
  </si>
  <si>
    <t>Hubelweg 5</t>
  </si>
  <si>
    <t>CHE-105.105.421</t>
  </si>
  <si>
    <t>Stalder HolzbauPlanung GmbH</t>
  </si>
  <si>
    <t>c/o Fritz Stalder</t>
  </si>
  <si>
    <t>Niederönzstrasse 12</t>
  </si>
  <si>
    <t>CHE-105.105.216</t>
  </si>
  <si>
    <t>AdvantX Solutions GmbH</t>
  </si>
  <si>
    <t>CHE-105.105.396</t>
  </si>
  <si>
    <t>Kunstgiesserei Urs Lebdowicz</t>
  </si>
  <si>
    <t>Buchsistrasse 2</t>
  </si>
  <si>
    <t>C245300</t>
  </si>
  <si>
    <t>Leichtmetallgiessereien</t>
  </si>
  <si>
    <t>CHE-105.105.712</t>
  </si>
  <si>
    <t>ZIMO Immobilien AG</t>
  </si>
  <si>
    <t>CHE-105.105.671</t>
  </si>
  <si>
    <t>BTV AG</t>
  </si>
  <si>
    <t>CHE-105.105.941</t>
  </si>
  <si>
    <t>InnovaStrat AG</t>
  </si>
  <si>
    <t>c/o Rudolf Freiermuth</t>
  </si>
  <si>
    <t>Bleienbachstrasse 24</t>
  </si>
  <si>
    <t>Schmid + Roth Holding AG</t>
  </si>
  <si>
    <t>CHE-112.112.701</t>
  </si>
  <si>
    <t>HOTEL KRONE WANGEN AN DER AARE AG</t>
  </si>
  <si>
    <t>Städtli 1</t>
  </si>
  <si>
    <t>CHE-104.104.784</t>
  </si>
  <si>
    <t>EMB Emmental-Modell-Bau GmbH</t>
  </si>
  <si>
    <t>c/o Hans Pfander</t>
  </si>
  <si>
    <t>Langenthalstrasse 38</t>
  </si>
  <si>
    <t>CHE-104.104.342</t>
  </si>
  <si>
    <t>Signer Bau GmbH</t>
  </si>
  <si>
    <t>CHE-104.104.441</t>
  </si>
  <si>
    <t>Passucci Bau GmbH</t>
  </si>
  <si>
    <t>Lindenstrasse 7</t>
  </si>
  <si>
    <t>CHE-114.114.925</t>
  </si>
  <si>
    <t>Tiliacor AG</t>
  </si>
  <si>
    <t>CHE-103.103.558</t>
  </si>
  <si>
    <t>Pneu Bösiger AG</t>
  </si>
  <si>
    <t>CHE-103.103.999</t>
  </si>
  <si>
    <t>Mühlethaler &amp; Co.</t>
  </si>
  <si>
    <t>Buchwaldweg 1</t>
  </si>
  <si>
    <t>Walliswil bei Niederbipp</t>
  </si>
  <si>
    <t>CHE-103.103.796</t>
  </si>
  <si>
    <t>Solaranlagen Güdel</t>
  </si>
  <si>
    <t>Eschenstrasse 5</t>
  </si>
  <si>
    <t>CHE-103.103.684</t>
  </si>
  <si>
    <t>TOW AG</t>
  </si>
  <si>
    <t>CHE-103.103.913</t>
  </si>
  <si>
    <t>Asociación niños de la tierra</t>
  </si>
  <si>
    <t>c/o Daniel Etter</t>
  </si>
  <si>
    <t>Burgerweg 15</t>
  </si>
  <si>
    <t>CHE-103.103.617</t>
  </si>
  <si>
    <t>Rukop Transfinanz GmbH</t>
  </si>
  <si>
    <t>K649902</t>
  </si>
  <si>
    <t>Tresorerie innerhalb einer Unternehmensgruppe</t>
  </si>
  <si>
    <t>CHE-103.103.128</t>
  </si>
  <si>
    <t>Drei Brunnen AG</t>
  </si>
  <si>
    <t>Obere Duerrmuehlestrasse 13</t>
  </si>
  <si>
    <t>CHE-103.103.655</t>
  </si>
  <si>
    <t>CAMA Carrosserie + Malerei AG</t>
  </si>
  <si>
    <t>Walliswilstrasse 9</t>
  </si>
  <si>
    <t>CHE-103.103.642</t>
  </si>
  <si>
    <t>AWS Beteiligungs-AG</t>
  </si>
  <si>
    <t>CHE-103.103.114</t>
  </si>
  <si>
    <t>Geiser Marktgasse AG</t>
  </si>
  <si>
    <t>CHE-103.103.337</t>
  </si>
  <si>
    <t>Jenzer AG, Melchnau</t>
  </si>
  <si>
    <t>CHE-103.103.336</t>
  </si>
  <si>
    <t>Liliba AG</t>
  </si>
  <si>
    <t>CHE-102.102.665</t>
  </si>
  <si>
    <t>Berken</t>
  </si>
  <si>
    <t>CHE-102.102.723</t>
  </si>
  <si>
    <t>Textil AG Huttwil</t>
  </si>
  <si>
    <t>Luzernstrasse 11</t>
  </si>
  <si>
    <t>C143900</t>
  </si>
  <si>
    <t>Herstellung von sonstiger Bekleidung aus gewirktem und gestricktem Stoff</t>
  </si>
  <si>
    <t>CHE-102.102.899</t>
  </si>
  <si>
    <t>IMAG Gutenburg AG</t>
  </si>
  <si>
    <t>CHE-102.102.367</t>
  </si>
  <si>
    <t>Schelbli Immobilien AG</t>
  </si>
  <si>
    <t>CHE-102.102.108</t>
  </si>
  <si>
    <t>H. Siegenthaler AG</t>
  </si>
  <si>
    <t>CHE-112.112.248</t>
  </si>
  <si>
    <t>Active Coaching GmbH</t>
  </si>
  <si>
    <t>CHE-102.102.462</t>
  </si>
  <si>
    <t>Grädel Immo AG</t>
  </si>
  <si>
    <t>Bernstrasse 7 a</t>
  </si>
  <si>
    <t>CHE-102.102.164</t>
  </si>
  <si>
    <t>mem-tec, Meyer Markus technics</t>
  </si>
  <si>
    <t>Bergstrasse 17</t>
  </si>
  <si>
    <t>CHE-102.102.642</t>
  </si>
  <si>
    <t>Winn Fat AG</t>
  </si>
  <si>
    <t>CHE-102.102.657</t>
  </si>
  <si>
    <t>Genossenschaft Alterswohnungen bim Spycher</t>
  </si>
  <si>
    <t>c/o Altersheim bim Spycher</t>
  </si>
  <si>
    <t>Sekundarschulstrasse 9</t>
  </si>
  <si>
    <t>CHE-102.102.468</t>
  </si>
  <si>
    <t>Nizolino AG</t>
  </si>
  <si>
    <t>Weiherweg 15</t>
  </si>
  <si>
    <t>CHE-102.102.567</t>
  </si>
  <si>
    <t>Jörg Ischi</t>
  </si>
  <si>
    <t>CHE-102.102.379</t>
  </si>
  <si>
    <t>MB Holding AG</t>
  </si>
  <si>
    <t>Gaswerkstr. 63</t>
  </si>
  <si>
    <t>CHE-102.102.510</t>
  </si>
  <si>
    <t>Fritz Ledermann AG</t>
  </si>
  <si>
    <t>Dorfstrasse 17</t>
  </si>
  <si>
    <t>CHE-101.101.976</t>
  </si>
  <si>
    <t>Eugen J. Engeler Race Car Events</t>
  </si>
  <si>
    <t>CHE-101.101.681</t>
  </si>
  <si>
    <t>Wohnbaugenossenschaft Jura</t>
  </si>
  <si>
    <t>CHE-101.101.055</t>
  </si>
  <si>
    <t>Inertstoffdeponie Tannenbad GmbH</t>
  </si>
  <si>
    <t>c/o Gränicher AG Huttwil</t>
  </si>
  <si>
    <t>CHE-101.101.049</t>
  </si>
  <si>
    <t>Liechti &amp; Rentsch Elektro Telematik GmbH</t>
  </si>
  <si>
    <t>CHE-101.101.637</t>
  </si>
  <si>
    <t>HOTOP Nutrition SA</t>
  </si>
  <si>
    <t>Eschenstrasse 31</t>
  </si>
  <si>
    <t>CHE-101.101.944</t>
  </si>
  <si>
    <t>Walter Nyffeler GmbH</t>
  </si>
  <si>
    <t>Inseli 3</t>
  </si>
  <si>
    <t>CHE-101.101.503</t>
  </si>
  <si>
    <t>Hairdesign, Sandra Marino-Lüthi</t>
  </si>
  <si>
    <t>CHE-101.101.437</t>
  </si>
  <si>
    <t>maxi.mumm</t>
  </si>
  <si>
    <t>CHE-101.101.011</t>
  </si>
  <si>
    <t>Garomadi Trading, G. Furrer</t>
  </si>
  <si>
    <t>Stadthofweg 7</t>
  </si>
  <si>
    <t>CHE-100.100.704</t>
  </si>
  <si>
    <t>JK-Handel GmbH</t>
  </si>
  <si>
    <t>c/o Jürg und Erika Kopp-Schmied</t>
  </si>
  <si>
    <t>Muehlackerweg 5 B</t>
  </si>
  <si>
    <t>G464301</t>
  </si>
  <si>
    <t>Grosshandel mit elektrischen Haushaltsgeräten</t>
  </si>
  <si>
    <t>CHE-101.101.368</t>
  </si>
  <si>
    <t>Hofmatt GmbH</t>
  </si>
  <si>
    <t>Bützbergstr. 2</t>
  </si>
  <si>
    <t>CHE-101.101.018</t>
  </si>
  <si>
    <t>CHE-101.101.138</t>
  </si>
  <si>
    <t>Wiedmer Büro- und Schreibservice</t>
  </si>
  <si>
    <t>Lengacker 112</t>
  </si>
  <si>
    <t>CHE-101.101.407</t>
  </si>
  <si>
    <t>W. + O. Geiser AG</t>
  </si>
  <si>
    <t>Hintergasse 29</t>
  </si>
  <si>
    <t>CHE-101.101.439</t>
  </si>
  <si>
    <t>Daniel Gerber Transporte AG</t>
  </si>
  <si>
    <t>CHE-101.101.442</t>
  </si>
  <si>
    <t>In Ar immobilien AG</t>
  </si>
  <si>
    <t>c/o Sägesser Fenster AG</t>
  </si>
  <si>
    <t>K649903</t>
  </si>
  <si>
    <t>Sonstige Finanzierungsinstitutionen a. n. g.</t>
  </si>
  <si>
    <t>CHE-101.101.403</t>
  </si>
  <si>
    <t>Kummer Holding AG</t>
  </si>
  <si>
    <t>c/o Jörg &amp; Kummer AG</t>
  </si>
  <si>
    <t>CHE-101.101.094</t>
  </si>
  <si>
    <t>Johnsales Holding GmbH</t>
  </si>
  <si>
    <t>c/o Johnsales AG</t>
  </si>
  <si>
    <t>CHE-100.100.407</t>
  </si>
  <si>
    <t>Genossenschaft Regio-Messe Huttwil</t>
  </si>
  <si>
    <t>c/o Reiselade Huttwil GmbH</t>
  </si>
  <si>
    <t>CHE-100.100.432</t>
  </si>
  <si>
    <t>Blumen und Dekorationen Christen</t>
  </si>
  <si>
    <t>Juraweg 8</t>
  </si>
  <si>
    <t>CHE-100.100.122</t>
  </si>
  <si>
    <t>Marcel Egli</t>
  </si>
  <si>
    <t>Buetzbergstrasse 10</t>
  </si>
  <si>
    <t>CHE-100.100.151</t>
  </si>
  <si>
    <t>Pferdeversicherungs-Genossenschaft Ochlenberg</t>
  </si>
  <si>
    <t>c/o Fritz Flückiger</t>
  </si>
  <si>
    <t>CHE-100.100.854</t>
  </si>
  <si>
    <t>Wohnbaugenossenschaft Bundespersonal Wangen an der Aare</t>
  </si>
  <si>
    <t>c/o Edith Hähni</t>
  </si>
  <si>
    <t>Metzgermattstrasse 4</t>
  </si>
  <si>
    <t>CHE-100.100.133</t>
  </si>
  <si>
    <t>AARATEC Schneeberger, Hostettler &amp; Co.</t>
  </si>
  <si>
    <t>Kuestereiweg 8</t>
  </si>
  <si>
    <t>CHE-100.100.137</t>
  </si>
  <si>
    <t>Minder Schlosserei und Montage GmbH</t>
  </si>
  <si>
    <t>Lochmühleweg 1</t>
  </si>
  <si>
    <t>CHE-107.107.103</t>
  </si>
  <si>
    <t>Rislag AG</t>
  </si>
  <si>
    <t>c/o Christine Howald-Senn</t>
  </si>
  <si>
    <t>Vorstadt 1</t>
  </si>
  <si>
    <t>CHE-100.100.975</t>
  </si>
  <si>
    <t>textfabrik Hans-Jürg Schmied</t>
  </si>
  <si>
    <t>Blumenstrasse 28</t>
  </si>
  <si>
    <t>Murgenthalstrasse 7</t>
  </si>
  <si>
    <t>CHE-107.107.841</t>
  </si>
  <si>
    <t>Hansrudolf Jordi Zimmerei</t>
  </si>
  <si>
    <t>Melchnaustrasse 21A</t>
  </si>
  <si>
    <t>CHE-111.111.169</t>
  </si>
  <si>
    <t>Bolliger Elektrotechnik GmbH</t>
  </si>
  <si>
    <t>Melchnaustrasse 20</t>
  </si>
  <si>
    <t>CHE-462.462.662</t>
  </si>
  <si>
    <t>NaGeNa Holding AG</t>
  </si>
  <si>
    <t>CHE-108.108.687</t>
  </si>
  <si>
    <t>Fleischhandel W. Blaser</t>
  </si>
  <si>
    <t>CHE-165.165.550</t>
  </si>
  <si>
    <t>Detailhandel Markus Baumann GmbH</t>
  </si>
  <si>
    <t>Langenthalstrasse 44</t>
  </si>
  <si>
    <t>CHE-229.229.834</t>
  </si>
  <si>
    <t>GABOX GmbH</t>
  </si>
  <si>
    <t>Bernstrasse 24</t>
  </si>
  <si>
    <t>CHE-262.262.662</t>
  </si>
  <si>
    <t>KIBAG Bauleistungen AG</t>
  </si>
  <si>
    <t>Schlüsselmattweg 2</t>
  </si>
  <si>
    <t>CHE-359.359.567</t>
  </si>
  <si>
    <t>PS Steuern und Recht GmbH Wynau</t>
  </si>
  <si>
    <t>CHE-110.110.919</t>
  </si>
  <si>
    <t>Stiftung für Gesundheit, Religiosität und Spiritualität</t>
  </si>
  <si>
    <t>CHE-113.113.540</t>
  </si>
  <si>
    <t>PM Innovation Holding AG</t>
  </si>
  <si>
    <t>CHE-107.107.781</t>
  </si>
  <si>
    <t>Lauener Holzbau AG</t>
  </si>
  <si>
    <t>c/o Ernst Lauener</t>
  </si>
  <si>
    <t>Melchnaustrasse 4C</t>
  </si>
  <si>
    <t>CHE-106.106.505</t>
  </si>
  <si>
    <t>Schärer Architekten GmbH</t>
  </si>
  <si>
    <t>Friedhofweg 34</t>
  </si>
  <si>
    <t>CHE-106.106.533</t>
  </si>
  <si>
    <t>Wecom AG</t>
  </si>
  <si>
    <t>CHE-102.102.970</t>
  </si>
  <si>
    <t>Hanspeter Litscher</t>
  </si>
  <si>
    <t>CHE-315.315.593</t>
  </si>
  <si>
    <t>AllinOne Solutions GmbH</t>
  </si>
  <si>
    <t>CHE-162.162.672</t>
  </si>
  <si>
    <t>Pensionskasse der Stadt Langenthal</t>
  </si>
  <si>
    <t>c/o Einwohnergemeinde Langenthal</t>
  </si>
  <si>
    <t>CHE-420.420.969</t>
  </si>
  <si>
    <t>U &amp; L Immobilien AG</t>
  </si>
  <si>
    <t>c/o Lena Plan GmbH</t>
  </si>
  <si>
    <t>CHE-228.228.314</t>
  </si>
  <si>
    <t>W. Heiniger AG</t>
  </si>
  <si>
    <t>CHE-212.212.692</t>
  </si>
  <si>
    <t>ZAHO Holzbau AG</t>
  </si>
  <si>
    <t>Dorf 53</t>
  </si>
  <si>
    <t>CHE-295.295.565</t>
  </si>
  <si>
    <t>Bösiger Langenthal Wohnen AG</t>
  </si>
  <si>
    <t>CHE-361.361.582</t>
  </si>
  <si>
    <t>Marmobisa AG</t>
  </si>
  <si>
    <t>CHE-459.459.990</t>
  </si>
  <si>
    <t>Kulturverein OldCapitol</t>
  </si>
  <si>
    <t>CHE-342.342.438</t>
  </si>
  <si>
    <t>Fondation Cuno Amiet</t>
  </si>
  <si>
    <t>Dörfli 12</t>
  </si>
  <si>
    <t>CHE-458.458.093</t>
  </si>
  <si>
    <t>PowerSelling Pat D'Ippolito</t>
  </si>
  <si>
    <t>CHE-396.396.468</t>
  </si>
  <si>
    <t>Waldhofstrasse 1</t>
  </si>
  <si>
    <t>CHE-229.229.909</t>
  </si>
  <si>
    <t>CHE-372.372.061</t>
  </si>
  <si>
    <t>Burri Heizung / Sanitär</t>
  </si>
  <si>
    <t>Lehnweg 29</t>
  </si>
  <si>
    <t>CHE-135.135.244</t>
  </si>
  <si>
    <t>Reissnecker's Bayerische Grabenlos</t>
  </si>
  <si>
    <t>Sagiweg 3</t>
  </si>
  <si>
    <t>Melchnaustrasse 14</t>
  </si>
  <si>
    <t>CHE-241.241.739</t>
  </si>
  <si>
    <t>Schöni Service AG</t>
  </si>
  <si>
    <t>CHE-450.450.415</t>
  </si>
  <si>
    <t>Steffen Holzbau GmbH</t>
  </si>
  <si>
    <t>Rönnle 139</t>
  </si>
  <si>
    <t>CHE-403.403.583</t>
  </si>
  <si>
    <t>Atelier Therese Tschirren</t>
  </si>
  <si>
    <t>Beundenstrasse 12</t>
  </si>
  <si>
    <t>CHE-292.292.623</t>
  </si>
  <si>
    <t>Velocenter K. Stettler</t>
  </si>
  <si>
    <t>CHE-445.445.340</t>
  </si>
  <si>
    <t>DA Holding AG</t>
  </si>
  <si>
    <t>c/o Daniel Amacher</t>
  </si>
  <si>
    <t>Panoramastrasse 3</t>
  </si>
  <si>
    <t>CHE-193.193.410</t>
  </si>
  <si>
    <t>Haustechnik Bammann</t>
  </si>
  <si>
    <t>Rufshausenstrasse 27</t>
  </si>
  <si>
    <t>CHE-315.315.569</t>
  </si>
  <si>
    <t>Genossenschaft GenerationenWohnenSeeberg</t>
  </si>
  <si>
    <t>CHE-418.418.091</t>
  </si>
  <si>
    <t>animal vital GmbH</t>
  </si>
  <si>
    <t>Hombergstrasse 3</t>
  </si>
  <si>
    <t>CHE-428.428.403</t>
  </si>
  <si>
    <t>Stiftung Berufsfachschule Langenthal</t>
  </si>
  <si>
    <t>c/o Berufsfachschule Langenthal</t>
  </si>
  <si>
    <t>Weststrasse 26</t>
  </si>
  <si>
    <t>CHE-345.345.297</t>
  </si>
  <si>
    <t>CHE-239.239.793</t>
  </si>
  <si>
    <t>Hörberatung Langenthal GmbH</t>
  </si>
  <si>
    <t>Farbgasse 6</t>
  </si>
  <si>
    <t>CHE-265.265.316</t>
  </si>
  <si>
    <t>Pneu Aeschlimann</t>
  </si>
  <si>
    <t>Althausweid 151</t>
  </si>
  <si>
    <t>CHE-450.450.497</t>
  </si>
  <si>
    <t>Rowa Schweiz Adrian Beer</t>
  </si>
  <si>
    <t>Hasweid 178</t>
  </si>
  <si>
    <t>CHE-401.401.058</t>
  </si>
  <si>
    <t>adi heutschi - webdesign</t>
  </si>
  <si>
    <t>c/o Adrian Heutschi</t>
  </si>
  <si>
    <t>CHE-138.138.667</t>
  </si>
  <si>
    <t>CONTECH Equipment GmbH</t>
  </si>
  <si>
    <t>Aarwangenstrasse 2</t>
  </si>
  <si>
    <t>CHE-440.440.343</t>
  </si>
  <si>
    <t>Grossweier Gastro GmbH</t>
  </si>
  <si>
    <t>Grossweier 12</t>
  </si>
  <si>
    <t>CHE-379.379.560</t>
  </si>
  <si>
    <t>Fahr &amp; Shuttle Service Mittelland GmbH</t>
  </si>
  <si>
    <t>H493100</t>
  </si>
  <si>
    <t>Personenbeförderung im Nahverkehr zu Lande (ohne Taxis)</t>
  </si>
  <si>
    <t>CHE-298.298.235</t>
  </si>
  <si>
    <t>Zigarrenstube Langenthal Konrad Dätwyler</t>
  </si>
  <si>
    <t>G472600</t>
  </si>
  <si>
    <t>Detailhandel mit Tabakwaren</t>
  </si>
  <si>
    <t>CHE-461.461.027</t>
  </si>
  <si>
    <t>Eichenberger Automation GmbH</t>
  </si>
  <si>
    <t>CHE-350.350.697</t>
  </si>
  <si>
    <t>bautom.ch Kissling</t>
  </si>
  <si>
    <t>Moosbachstrasse 34</t>
  </si>
  <si>
    <t>CHE-436.436.009</t>
  </si>
  <si>
    <t>Käser AG, Elektro + Telekommunikation</t>
  </si>
  <si>
    <t>CHE-437.437.915</t>
  </si>
  <si>
    <t>Quittenduft Josianne Hosner</t>
  </si>
  <si>
    <t>Beundenrain 10</t>
  </si>
  <si>
    <t>CHE-304.304.754</t>
  </si>
  <si>
    <t>KMU-Dienste Krenger AG</t>
  </si>
  <si>
    <t>CHE-366.366.154</t>
  </si>
  <si>
    <t>K elektro GmbH</t>
  </si>
  <si>
    <t>Bleienbachstrasse 40</t>
  </si>
  <si>
    <t>CHE-457.457.287</t>
  </si>
  <si>
    <t>cascade Ch. Hurst</t>
  </si>
  <si>
    <t>CHE-182.182.793</t>
  </si>
  <si>
    <t>gartenfeuer.ch gmbh</t>
  </si>
  <si>
    <t>CHE-450.450.665</t>
  </si>
  <si>
    <t>PSC Holding AG</t>
  </si>
  <si>
    <t>CHE-302.302.785</t>
  </si>
  <si>
    <t>Psy Langenthal GmbH</t>
  </si>
  <si>
    <t>Feldstrasse 22</t>
  </si>
  <si>
    <t>CHE-301.301.185</t>
  </si>
  <si>
    <t>adoris GmbH</t>
  </si>
  <si>
    <t>Klusstrasse 15</t>
  </si>
  <si>
    <t>CHE-278.278.250</t>
  </si>
  <si>
    <t>Lustenberger.Galli Parkett + Bodenbeläge GmbH</t>
  </si>
  <si>
    <t>CHE-185.185.487</t>
  </si>
  <si>
    <t>Speed Auto P. Nikolic</t>
  </si>
  <si>
    <t>CHE-242.242.065</t>
  </si>
  <si>
    <t>Agentur Daniela Schneider</t>
  </si>
  <si>
    <t>Schmiedenmattstrasse 6</t>
  </si>
  <si>
    <t>CHE-496.496.683</t>
  </si>
  <si>
    <t>LGS Brunner KLG</t>
  </si>
  <si>
    <t>Steinfeldstrasse 2a</t>
  </si>
  <si>
    <t>CHE-138.138.098</t>
  </si>
  <si>
    <t>switax ag</t>
  </si>
  <si>
    <t>CHE-332.332.358</t>
  </si>
  <si>
    <t>CHE-210.210.223</t>
  </si>
  <si>
    <t>die dekoration katja beutler-röthlisberger</t>
  </si>
  <si>
    <t>Kindergartenweg 5</t>
  </si>
  <si>
    <t>CHE-394.394.536</t>
  </si>
  <si>
    <t>Swiss Dach Solutions AG</t>
  </si>
  <si>
    <t>Bahnhofstrasse 74</t>
  </si>
  <si>
    <t>CHE-325.325.487</t>
  </si>
  <si>
    <t>IMPEX Sägesser &amp; Co.</t>
  </si>
  <si>
    <t>Dennliweg 70 B</t>
  </si>
  <si>
    <t>CHE-235.235.805</t>
  </si>
  <si>
    <t>Swiss Paracord GmbH</t>
  </si>
  <si>
    <t>CHE-423.423.081</t>
  </si>
  <si>
    <t>RapNika GmbH</t>
  </si>
  <si>
    <t>CHE-412.412.434</t>
  </si>
  <si>
    <t>KINETIK Physiotherapie GmbH</t>
  </si>
  <si>
    <t>Vorstadt 29</t>
  </si>
  <si>
    <t>CHE-394.394.307</t>
  </si>
  <si>
    <t>Nando Stöcklin</t>
  </si>
  <si>
    <t>Leebach 88</t>
  </si>
  <si>
    <t>CHE-108.108.874</t>
  </si>
  <si>
    <t>Garage Urs Marending</t>
  </si>
  <si>
    <t>CHE-477.477.897</t>
  </si>
  <si>
    <t>Reto Mathys GmbH</t>
  </si>
  <si>
    <t>CHE-232.232.836</t>
  </si>
  <si>
    <t>LeeR Holding GmbH</t>
  </si>
  <si>
    <t>CHE-449.449.394</t>
  </si>
  <si>
    <t>Seehain Import I. Sjölund</t>
  </si>
  <si>
    <t>Goldisberg 9</t>
  </si>
  <si>
    <t>CHE-464.464.567</t>
  </si>
  <si>
    <t>PK Fuhrer</t>
  </si>
  <si>
    <t>Hauptstrasse 63</t>
  </si>
  <si>
    <t>CHE-433.433.195</t>
  </si>
  <si>
    <t>JOZEF UNTERLAGSBÖDEN</t>
  </si>
  <si>
    <t>CHE-392.392.554</t>
  </si>
  <si>
    <t>Müller Handel und Beratung</t>
  </si>
  <si>
    <t>CHE-234.234.441</t>
  </si>
  <si>
    <t>S&amp;O reSearch GmbH</t>
  </si>
  <si>
    <t>CHE-242.242.151</t>
  </si>
  <si>
    <t>Restaurant Roggen J. + S. Schmidt</t>
  </si>
  <si>
    <t>Bahnhofstrasse 28</t>
  </si>
  <si>
    <t>CHE-230.230.455</t>
  </si>
  <si>
    <t>HiveNet GmbH</t>
  </si>
  <si>
    <t>CHE-226.226.394</t>
  </si>
  <si>
    <t>Gerber Farm Estates AG</t>
  </si>
  <si>
    <t>Sängeliweg 37</t>
  </si>
  <si>
    <t>CHE-488.488.963</t>
  </si>
  <si>
    <t>Dorf 118a</t>
  </si>
  <si>
    <t>CHE-429.429.496</t>
  </si>
  <si>
    <t>M. ESPOSITO</t>
  </si>
  <si>
    <t>Mühlegasse 17</t>
  </si>
  <si>
    <t>CHE-406.406.146</t>
  </si>
  <si>
    <t>Panexel GmbH</t>
  </si>
  <si>
    <t>Badstrasse 3</t>
  </si>
  <si>
    <t>J591300</t>
  </si>
  <si>
    <t>Filmverleih und -vertrieb (ohne Videotheken)</t>
  </si>
  <si>
    <t>CHE-381.381.406</t>
  </si>
  <si>
    <t>JBW Beteiligungen AG</t>
  </si>
  <si>
    <t>CHE-348.348.231</t>
  </si>
  <si>
    <t>Schenker Storen AG</t>
  </si>
  <si>
    <t>CHE-473.473.944</t>
  </si>
  <si>
    <t>Haldi Bootbau GmbH</t>
  </si>
  <si>
    <t>Gässli 10</t>
  </si>
  <si>
    <t>C331500</t>
  </si>
  <si>
    <t>Reparatur und Instandhaltung von Schiffen, Booten und Yachten</t>
  </si>
  <si>
    <t>CHE-335.335.193</t>
  </si>
  <si>
    <t>KaempferEngineering GmbH</t>
  </si>
  <si>
    <t>Bergweidli 101</t>
  </si>
  <si>
    <t>CHE-479.479.706</t>
  </si>
  <si>
    <t>Kristallhimmel N. Suter</t>
  </si>
  <si>
    <t>Mattenweg 3</t>
  </si>
  <si>
    <t>CHE-497.497.449</t>
  </si>
  <si>
    <t>KreativAtelier Zwärge-Wärch KLG</t>
  </si>
  <si>
    <t>Unterer Siedlungsweg 8</t>
  </si>
  <si>
    <t>CHE-436.436.552</t>
  </si>
  <si>
    <t>Radsport Lafranchi GmbH</t>
  </si>
  <si>
    <t>Obergasse 36</t>
  </si>
  <si>
    <t>CHE-432.432.446</t>
  </si>
  <si>
    <t>CHE-471.471.407</t>
  </si>
  <si>
    <t>supplyChange GmbH</t>
  </si>
  <si>
    <t>CHE-196.196.615</t>
  </si>
  <si>
    <t>Reinmann Dach- und Fassadenbau GmbH</t>
  </si>
  <si>
    <t>CHE-220.220.550</t>
  </si>
  <si>
    <t>Felder Consulting</t>
  </si>
  <si>
    <t>Brüggenweid 122C</t>
  </si>
  <si>
    <t>CHE-425.425.869</t>
  </si>
  <si>
    <t>bild huttwil gmbh</t>
  </si>
  <si>
    <t>c/o Markus Steinemann</t>
  </si>
  <si>
    <t>Spitalstrasse 40</t>
  </si>
  <si>
    <t>CHE-488.488.975</t>
  </si>
  <si>
    <t>Hair Fashion Langenthal GmbH</t>
  </si>
  <si>
    <t>Brauihof 20A</t>
  </si>
  <si>
    <t>CHE-318.318.096</t>
  </si>
  <si>
    <t>Hug AG Roggwil</t>
  </si>
  <si>
    <t>St. Urbanstrasse 79</t>
  </si>
  <si>
    <t>CHE-148.148.275</t>
  </si>
  <si>
    <t>T + B Treuhand &amp; Bauleistungen GmbH</t>
  </si>
  <si>
    <t>Weierweg 3</t>
  </si>
  <si>
    <t>CHE-168.168.173</t>
  </si>
  <si>
    <t>Bütteli Manufaktur Doris Mathys</t>
  </si>
  <si>
    <t>CHE-336.336.935</t>
  </si>
  <si>
    <t>Balance in you Burki</t>
  </si>
  <si>
    <t>Sandackerweg 10</t>
  </si>
  <si>
    <t>Lindenweg 5</t>
  </si>
  <si>
    <t>CHE-402.402.584</t>
  </si>
  <si>
    <t>Kämpf Holding AG</t>
  </si>
  <si>
    <t>CHE-233.233.677</t>
  </si>
  <si>
    <t>AEBI.SWISS AG</t>
  </si>
  <si>
    <t>Eyhalde 23</t>
  </si>
  <si>
    <t>CHE-151.151.187</t>
  </si>
  <si>
    <t>bestsolution-swiss AG</t>
  </si>
  <si>
    <t>CHE-375.375.085</t>
  </si>
  <si>
    <t>YouDriveIt GmbH</t>
  </si>
  <si>
    <t>CHE-395.395.194</t>
  </si>
  <si>
    <t>nika Store KLG</t>
  </si>
  <si>
    <t>Vorstadt 10</t>
  </si>
  <si>
    <t>Rovall DL GmbH</t>
  </si>
  <si>
    <t>CHE-350.350.402</t>
  </si>
  <si>
    <t>PWM GmbH</t>
  </si>
  <si>
    <t>CHE-324.324.324</t>
  </si>
  <si>
    <t>Nobs Holding GmbH</t>
  </si>
  <si>
    <t>c/o Nobs Hydraulik AG</t>
  </si>
  <si>
    <t>Oberdorfstrasse 49</t>
  </si>
  <si>
    <t>CHE-220.220.878</t>
  </si>
  <si>
    <t>Seniorendienste Schweiz AG, Zweigniederlassung Attiswil</t>
  </si>
  <si>
    <t>Oltenstrasse 5</t>
  </si>
  <si>
    <t>CHE-191.191.118</t>
  </si>
  <si>
    <t>3G Automobile GmbH</t>
  </si>
  <si>
    <t>CHE-303.303.367</t>
  </si>
  <si>
    <t>Gschäpi GmbH</t>
  </si>
  <si>
    <t>Oberstrasse 23</t>
  </si>
  <si>
    <t>CHE-276.276.855</t>
  </si>
  <si>
    <t>Walther Transport</t>
  </si>
  <si>
    <t>CHE-337.337.762</t>
  </si>
  <si>
    <t>blütenhandwerk Anita Wicki</t>
  </si>
  <si>
    <t>Stadthausstrasse 8</t>
  </si>
  <si>
    <t>CHE-184.184.763</t>
  </si>
  <si>
    <t>Solo Group GmbH</t>
  </si>
  <si>
    <t>Baselstrasse 26a</t>
  </si>
  <si>
    <t>CHE-194.194.094</t>
  </si>
  <si>
    <t>CHE-394.394.769</t>
  </si>
  <si>
    <t>Vali's Garage Inh. Valmir Shabani</t>
  </si>
  <si>
    <t>Mange 3</t>
  </si>
  <si>
    <t>CHE-336.336.042</t>
  </si>
  <si>
    <t>DAIMEX AG</t>
  </si>
  <si>
    <t>Güterstrasse 12</t>
  </si>
  <si>
    <t>CHE-197.197.117</t>
  </si>
  <si>
    <t>Presserteam GmbH</t>
  </si>
  <si>
    <t>Brüggenweid 113</t>
  </si>
  <si>
    <t>CHE-261.261.486</t>
  </si>
  <si>
    <t>Bulaku Reinigung</t>
  </si>
  <si>
    <t>CHE-432.432.309</t>
  </si>
  <si>
    <t>itemsnstuff GmbH</t>
  </si>
  <si>
    <t>CHE-397.397.870</t>
  </si>
  <si>
    <t>Hasler IT Solutions GmbH</t>
  </si>
  <si>
    <t>Quellenweg 15</t>
  </si>
  <si>
    <t>CHE-350.350.832</t>
  </si>
  <si>
    <t>Orchidee Thai GmbH</t>
  </si>
  <si>
    <t>CHE-179.179.338</t>
  </si>
  <si>
    <t>Rayan Car AG</t>
  </si>
  <si>
    <t>CHE-439.439.873</t>
  </si>
  <si>
    <t>Kaanisol Technik GmbH</t>
  </si>
  <si>
    <t>CHE-188.188.410</t>
  </si>
  <si>
    <t>mobiroll GmbH</t>
  </si>
  <si>
    <t>Juchten 12</t>
  </si>
  <si>
    <t>CHE-486.486.123</t>
  </si>
  <si>
    <t>Martin Rütter DOGS - die Hundeschule für Menschen; Inh. Claudia Nussbeck</t>
  </si>
  <si>
    <t>Oberhardstrasse 16a</t>
  </si>
  <si>
    <t>CHE-166.166.135</t>
  </si>
  <si>
    <t>T15 Solution GmbH</t>
  </si>
  <si>
    <t>c/o lifestyle cars GmbH</t>
  </si>
  <si>
    <t>St. Urbanstrasse 31</t>
  </si>
  <si>
    <t>CHE-378.378.503</t>
  </si>
  <si>
    <t>MD Transporte - Handel Micic</t>
  </si>
  <si>
    <t>Gehrengasse 9b</t>
  </si>
  <si>
    <t>CHE-423.423.841</t>
  </si>
  <si>
    <t>Livex Partner GmbH</t>
  </si>
  <si>
    <t>Gaswerkstrasse 5</t>
  </si>
  <si>
    <t>CHE-216.216.095</t>
  </si>
  <si>
    <t>Big Chance for dogs</t>
  </si>
  <si>
    <t>c/o Wanda Regula Schneeberger</t>
  </si>
  <si>
    <t>Mumenthalstrasse 61</t>
  </si>
  <si>
    <t>CHE-358.358.024</t>
  </si>
  <si>
    <t>Beutler Bautech GmbH</t>
  </si>
  <si>
    <t>Meiniswilstrasse 62</t>
  </si>
  <si>
    <t>CHE-242.242.149</t>
  </si>
  <si>
    <t>P &amp; F Event klg</t>
  </si>
  <si>
    <t>Eriswilstrasse 18</t>
  </si>
  <si>
    <t>CHE-498.498.971</t>
  </si>
  <si>
    <t>Hugo Immobilien GmbH</t>
  </si>
  <si>
    <t>c/o Alen Piljic</t>
  </si>
  <si>
    <t>Belchenstrasse 11</t>
  </si>
  <si>
    <t>CHE-281.281.607</t>
  </si>
  <si>
    <t>ASM Bucher Holding GmbH</t>
  </si>
  <si>
    <t>Flurweg 20</t>
  </si>
  <si>
    <t>CHE-174.174.003</t>
  </si>
  <si>
    <t>BBIL AG</t>
  </si>
  <si>
    <t>Rotboden 14</t>
  </si>
  <si>
    <t>CHE-185.185.453</t>
  </si>
  <si>
    <t>Christian Greub Holding GmbH</t>
  </si>
  <si>
    <t>Brückenstrasse 12</t>
  </si>
  <si>
    <t>CHE-184.184.874</t>
  </si>
  <si>
    <t>Rötiweg 8</t>
  </si>
  <si>
    <t>CHE-485.485.378</t>
  </si>
  <si>
    <t>Goldstern Transport Shaqiri</t>
  </si>
  <si>
    <t>CHE-396.396.963</t>
  </si>
  <si>
    <t>Hasenfratz + Strebel Generalunternehmung AG</t>
  </si>
  <si>
    <t>CHE-349.349.165</t>
  </si>
  <si>
    <t>Orient Teppichservice Karpowicz Andrzej</t>
  </si>
  <si>
    <t>CHE-185.185.761</t>
  </si>
  <si>
    <t>Vakeesan GmbH</t>
  </si>
  <si>
    <t>c/o Tama Vakeesan</t>
  </si>
  <si>
    <t>Eichenweg 8</t>
  </si>
  <si>
    <t>CHE-394.394.144</t>
  </si>
  <si>
    <t>Langetau Taxi GmbH</t>
  </si>
  <si>
    <t>CHE-267.267.618</t>
  </si>
  <si>
    <t>Blumenhaus Gerber</t>
  </si>
  <si>
    <t>Langenthalstrasse 62</t>
  </si>
  <si>
    <t>CHE-101.101.573</t>
  </si>
  <si>
    <t>Malergeschäft M. Ulrich</t>
  </si>
  <si>
    <t>Reckenbergstrasse 43</t>
  </si>
  <si>
    <t>CHE-386.386.644</t>
  </si>
  <si>
    <t>Dein Transport Omerovic</t>
  </si>
  <si>
    <t>Paul Bornweg 9</t>
  </si>
  <si>
    <t>CHE-437.437.327</t>
  </si>
  <si>
    <t>YETIFLYERS GmbH</t>
  </si>
  <si>
    <t>CHE-207.207.620</t>
  </si>
  <si>
    <t>Parastift Schönberger</t>
  </si>
  <si>
    <t>CHE-421.421.699</t>
  </si>
  <si>
    <t>Stiftung INKIINO</t>
  </si>
  <si>
    <t>Allmengasse 34A</t>
  </si>
  <si>
    <t>Kreuzfeldweg 5a</t>
  </si>
  <si>
    <t>CHE-223.223.866</t>
  </si>
  <si>
    <t>L'ANGOLINO KLG</t>
  </si>
  <si>
    <t>Wangenriedstrasse 10</t>
  </si>
  <si>
    <t>CHE-258.258.574</t>
  </si>
  <si>
    <t>Fähnle Events und Marketing</t>
  </si>
  <si>
    <t>Rumiweg 23</t>
  </si>
  <si>
    <t>CHE-278.278.828</t>
  </si>
  <si>
    <t>Küpfer Consulting</t>
  </si>
  <si>
    <t>Maria Waser-Strasse 17</t>
  </si>
  <si>
    <t>CHE-139.139.109</t>
  </si>
  <si>
    <t>Hohl Technik GmbH</t>
  </si>
  <si>
    <t>Rüttere 1</t>
  </si>
  <si>
    <t>CHE-354.354.121</t>
  </si>
  <si>
    <t>ABo Mauerwerk Anderegg GmbH</t>
  </si>
  <si>
    <t>CHE-230.230.329</t>
  </si>
  <si>
    <t>Zahnarztpraxis Bulic Huttwil AG</t>
  </si>
  <si>
    <t>CHE-333.333.815</t>
  </si>
  <si>
    <t>Christen Brennerei &amp; Getränkehandel GmbH</t>
  </si>
  <si>
    <t>Hauptstrasse 22c</t>
  </si>
  <si>
    <t>CHE-214.214.734</t>
  </si>
  <si>
    <t>Der mobile Zimmermann - Inhaber Ledermann</t>
  </si>
  <si>
    <t>Oberbützberg 1</t>
  </si>
  <si>
    <t>CHE-157.157.148</t>
  </si>
  <si>
    <t>Holzerteam Kaufmann Rickli GmbH</t>
  </si>
  <si>
    <t>Friedhofweg 9</t>
  </si>
  <si>
    <t>CHE-305.305.530</t>
  </si>
  <si>
    <t>Obere Dürrmühlestrasse 17</t>
  </si>
  <si>
    <t>H494200</t>
  </si>
  <si>
    <t>Umzugstransporte</t>
  </si>
  <si>
    <t>CHE-484.484.819</t>
  </si>
  <si>
    <t>Schenk - Solutions</t>
  </si>
  <si>
    <t>Melchnaustrasse 118</t>
  </si>
  <si>
    <t>Untere Dürrmühlestrasse 5</t>
  </si>
  <si>
    <t>CHE-479.479.261</t>
  </si>
  <si>
    <t>Apotheke Dr. Küpfer AG</t>
  </si>
  <si>
    <t>Bahnhofstrasse 6</t>
  </si>
  <si>
    <t>CHE-341.341.494</t>
  </si>
  <si>
    <t>Zbinden Industries GmbH</t>
  </si>
  <si>
    <t>CHE-262.262.533</t>
  </si>
  <si>
    <t>Ludwig Gartenbau</t>
  </si>
  <si>
    <t>Grosshofstatt 10</t>
  </si>
  <si>
    <t>CHE-314.314.365</t>
  </si>
  <si>
    <t>Wirbelsäule im Zentrum Dr. Zweig GmbH</t>
  </si>
  <si>
    <t>Bahnhofstrasse 7</t>
  </si>
  <si>
    <t>CHE-188.188.481</t>
  </si>
  <si>
    <t>CMP CARLOS MONZON PEINTURE</t>
  </si>
  <si>
    <t>c/o Stefan Simon</t>
  </si>
  <si>
    <t>Holzhäusernstrasse 46</t>
  </si>
  <si>
    <t>CHE-157.157.119</t>
  </si>
  <si>
    <t>weg-punkt Gnägi</t>
  </si>
  <si>
    <t>Länggasse 7</t>
  </si>
  <si>
    <t>Mühlematte 6</t>
  </si>
  <si>
    <t>CHE-164.164.146</t>
  </si>
  <si>
    <t>CHE-377.377.066</t>
  </si>
  <si>
    <t>Hans Rhyn Holding AG</t>
  </si>
  <si>
    <t>CHE-472.472.405</t>
  </si>
  <si>
    <t>Restaurant Rendez-Vous KLG</t>
  </si>
  <si>
    <t>Städtli 3</t>
  </si>
  <si>
    <t>CHE-365.365.525</t>
  </si>
  <si>
    <t>Phoenix Bistro GmbH</t>
  </si>
  <si>
    <t>CHE-423.423.660</t>
  </si>
  <si>
    <t>Tourismus Langetental AG</t>
  </si>
  <si>
    <t>CHE-134.134.296</t>
  </si>
  <si>
    <t>Coiffure Fimi - Afrim Maksuti</t>
  </si>
  <si>
    <t>Bernstrasse 19</t>
  </si>
  <si>
    <t>CHE-270.270.800</t>
  </si>
  <si>
    <t>JAMAI Bedachung</t>
  </si>
  <si>
    <t>Hasenmattstrasse 37b</t>
  </si>
  <si>
    <t>CHE-416.416.903</t>
  </si>
  <si>
    <t>Enea GmbH</t>
  </si>
  <si>
    <t>Steingasse 21</t>
  </si>
  <si>
    <t>CHE-376.376.817</t>
  </si>
  <si>
    <t>MEGAOHM CONTROL AG, Zweigniederlassung Attiswil</t>
  </si>
  <si>
    <t>Gartenweg 6</t>
  </si>
  <si>
    <t>CHE-317.317.402</t>
  </si>
  <si>
    <t>MEGAOHM CONTROL AG, Zweigniederlassung Bützberg (Thunstetten)</t>
  </si>
  <si>
    <t>Eichenweg 11</t>
  </si>
  <si>
    <t>CHE-227.227.034</t>
  </si>
  <si>
    <t>Atelier Ingold Raschke GmbH</t>
  </si>
  <si>
    <t>Weissenried 10</t>
  </si>
  <si>
    <t>CHE-371.371.587</t>
  </si>
  <si>
    <t>KWOP GmbH</t>
  </si>
  <si>
    <t>c/o Anja Ursula Wurth</t>
  </si>
  <si>
    <t>Riedhofstrasse 18</t>
  </si>
  <si>
    <t>CHE-209.209.458</t>
  </si>
  <si>
    <t>RIEDERER GESTALTET GMBH</t>
  </si>
  <si>
    <t>Sonnhaldestrasse 69</t>
  </si>
  <si>
    <t>CHE-460.460.756</t>
  </si>
  <si>
    <t>MOFC GmbH</t>
  </si>
  <si>
    <t>Birkenweg 21B</t>
  </si>
  <si>
    <t>CHE-492.492.739</t>
  </si>
  <si>
    <t>Beundenrainpark AG</t>
  </si>
  <si>
    <t>CHE-416.416.689</t>
  </si>
  <si>
    <t>Buchfink GmbH</t>
  </si>
  <si>
    <t>CHE-220.220.467</t>
  </si>
  <si>
    <t>vogt tools</t>
  </si>
  <si>
    <t>Schmiedeweg 23</t>
  </si>
  <si>
    <t>CHE-387.387.520</t>
  </si>
  <si>
    <t>Gaston &amp; Suzette GmbH</t>
  </si>
  <si>
    <t>Farbgasse 39</t>
  </si>
  <si>
    <t>CHE-471.471.710</t>
  </si>
  <si>
    <t>Lehmann StilArt Swiss GmbH</t>
  </si>
  <si>
    <t>CHE-230.230.093</t>
  </si>
  <si>
    <t>Innovation Cars GmbH</t>
  </si>
  <si>
    <t>CHE-213.213.870</t>
  </si>
  <si>
    <t>Garage Käser AG Kleindietwil</t>
  </si>
  <si>
    <t>Engermatte 4</t>
  </si>
  <si>
    <t>CHE-188.188.144</t>
  </si>
  <si>
    <t>Carrosserie Simon GmbH</t>
  </si>
  <si>
    <t>CHE-425.425.814</t>
  </si>
  <si>
    <t>Valarte AG Gipser- &amp; Malergeschäft</t>
  </si>
  <si>
    <t>Länggasse 13</t>
  </si>
  <si>
    <t>CHE-440.440.502</t>
  </si>
  <si>
    <t>Imperial Cars24 GmbH</t>
  </si>
  <si>
    <t>CHE-454.454.196</t>
  </si>
  <si>
    <t>RSPJ Holding AG</t>
  </si>
  <si>
    <t>CHE-225.225.873</t>
  </si>
  <si>
    <t>Handwerk Natur GmbH</t>
  </si>
  <si>
    <t>Klusstrasse 12</t>
  </si>
  <si>
    <t>CHE-481.481.555</t>
  </si>
  <si>
    <t>Haargenau 49 GmbH</t>
  </si>
  <si>
    <t>CHE-273.273.225</t>
  </si>
  <si>
    <t>buchsi-vet holding ag</t>
  </si>
  <si>
    <t>c/o buchsi-vet ag</t>
  </si>
  <si>
    <t>Lindenweg 2</t>
  </si>
  <si>
    <t>G467100</t>
  </si>
  <si>
    <t>Grosshandel mit festen Brennstoffen und Mineralölerzeugnissen</t>
  </si>
  <si>
    <t>CHE-410.410.412</t>
  </si>
  <si>
    <t>Lagler Antoinette</t>
  </si>
  <si>
    <t>Gässli 2</t>
  </si>
  <si>
    <t>CHE-276.276.575</t>
  </si>
  <si>
    <t>M+O GmbH</t>
  </si>
  <si>
    <t>Buchenweg 7</t>
  </si>
  <si>
    <t>CHE-404.404.724</t>
  </si>
  <si>
    <t>Spenglerei Lauber GmbH</t>
  </si>
  <si>
    <t>CHE-294.294.793</t>
  </si>
  <si>
    <t>SOMMotion, Dr. Marc Balsiger</t>
  </si>
  <si>
    <t>Allmengasse 23</t>
  </si>
  <si>
    <t>CHE-166.166.387</t>
  </si>
  <si>
    <t>LAVA Beteiligungen AG</t>
  </si>
  <si>
    <t>CHE-499.499.654</t>
  </si>
  <si>
    <t>Wassermann Haustechnik GmbH</t>
  </si>
  <si>
    <t>Blumenstrasse 29</t>
  </si>
  <si>
    <t>CHE-210.210.600</t>
  </si>
  <si>
    <t>cleverteam ag</t>
  </si>
  <si>
    <t>c/o clevergie ag</t>
  </si>
  <si>
    <t>CHE-442.442.625</t>
  </si>
  <si>
    <t>Spheros AG</t>
  </si>
  <si>
    <t>c/o Reto Walliser</t>
  </si>
  <si>
    <t>Byfang 18</t>
  </si>
  <si>
    <t>CHE-268.268.669</t>
  </si>
  <si>
    <t>TK Beteiligungen GmbH</t>
  </si>
  <si>
    <t>CHE-105.105.343</t>
  </si>
  <si>
    <t>Howald Services + Trade</t>
  </si>
  <si>
    <t>Unterfeldweg 5</t>
  </si>
  <si>
    <t>CHE-198.198.959</t>
  </si>
  <si>
    <t>asl Suter gmbh</t>
  </si>
  <si>
    <t>Lotzwilstrasse 76</t>
  </si>
  <si>
    <t>CHE-385.385.373</t>
  </si>
  <si>
    <t>Fiechter Maschinentechnik GmbH</t>
  </si>
  <si>
    <t>CHE-431.431.895</t>
  </si>
  <si>
    <t>Alexandre Chopard GmbH</t>
  </si>
  <si>
    <t>Felsenweg 3</t>
  </si>
  <si>
    <t>CHE-252.252.132</t>
  </si>
  <si>
    <t>RS Maschinen &amp; Technik GmbH</t>
  </si>
  <si>
    <t>Obere Dürrmühlestrasse 34</t>
  </si>
  <si>
    <t>CHE-295.295.301</t>
  </si>
  <si>
    <t>JF Immobilien GmbH</t>
  </si>
  <si>
    <t>Obere Dürrmühlestrasse 19</t>
  </si>
  <si>
    <t>CHE-159.159.746</t>
  </si>
  <si>
    <t>Verein Caffè Sospeso</t>
  </si>
  <si>
    <t>Aufhabenweg 7</t>
  </si>
  <si>
    <t>CHE-447.447.233</t>
  </si>
  <si>
    <t>Real Immo Bau GmbH</t>
  </si>
  <si>
    <t>CHE-231.231.537</t>
  </si>
  <si>
    <t>MS Dynamic GmbH</t>
  </si>
  <si>
    <t>CHE-422.422.778</t>
  </si>
  <si>
    <t>Offergeld Logistik Schweiz AG, Zweigniederlassung Thunstetten</t>
  </si>
  <si>
    <t>CHE-277.277.088</t>
  </si>
  <si>
    <t>Bandello GmbH</t>
  </si>
  <si>
    <t>Mittelholzstrasse 39</t>
  </si>
  <si>
    <t>CHE-436.436.846</t>
  </si>
  <si>
    <t>berwy AG</t>
  </si>
  <si>
    <t>CHE-204.204.345</t>
  </si>
  <si>
    <t>FLYTK GmbH</t>
  </si>
  <si>
    <t>Hitzenberg 127h</t>
  </si>
  <si>
    <t>CHE-152.152.583</t>
  </si>
  <si>
    <t>Erdreich Boutique und Floristik Nadine Esposito</t>
  </si>
  <si>
    <t>Leinackerstrasse 51H</t>
  </si>
  <si>
    <t>CHE-376.376.239</t>
  </si>
  <si>
    <t>Schürchmatte Immobilien GmbH</t>
  </si>
  <si>
    <t>Aeschistrasse 16</t>
  </si>
  <si>
    <t>CHE-146.146.750</t>
  </si>
  <si>
    <t>LYLAVA GmbH</t>
  </si>
  <si>
    <t>CHE-153.153.282</t>
  </si>
  <si>
    <t>Garage Frederic Halbeisen</t>
  </si>
  <si>
    <t>Dorfstrasse 42</t>
  </si>
  <si>
    <t>CHE-158.158.741</t>
  </si>
  <si>
    <t>Hutzli Management GmbH</t>
  </si>
  <si>
    <t>c/o Ivo Hutzli</t>
  </si>
  <si>
    <t>Guger 17</t>
  </si>
  <si>
    <t>CHE-387.387.425</t>
  </si>
  <si>
    <t>Soder Architektur GmbH</t>
  </si>
  <si>
    <t>Dicknaustrasse 7</t>
  </si>
  <si>
    <t>CHE-409.409.456</t>
  </si>
  <si>
    <t>BSTB Trend Trade Consulting GmbH</t>
  </si>
  <si>
    <t>c/o Jolanda Silvia Burkhalter</t>
  </si>
  <si>
    <t>Walliswilstrasse 1</t>
  </si>
  <si>
    <t>CHE-253.253.042</t>
  </si>
  <si>
    <t>Ingold Traxspezialist Tiefbau GmbH</t>
  </si>
  <si>
    <t>Schulhausstrasse 48</t>
  </si>
  <si>
    <t>CHE-146.146.654</t>
  </si>
  <si>
    <t>Zwahlen Reinigt GmbH</t>
  </si>
  <si>
    <t>CHE-314.314.426</t>
  </si>
  <si>
    <t>Dubious Machines GmbH</t>
  </si>
  <si>
    <t>Bielstrasse 24</t>
  </si>
  <si>
    <t>CHE-384.384.415</t>
  </si>
  <si>
    <t>LTM GmbH</t>
  </si>
  <si>
    <t>CHE-394.394.392</t>
  </si>
  <si>
    <t>Hasenfratz + Strebel Holding GmbH</t>
  </si>
  <si>
    <t>c/o Hasenfratz + Strebel Architekten AG</t>
  </si>
  <si>
    <t>CHE-398.398.688</t>
  </si>
  <si>
    <t>Aditime GmbH</t>
  </si>
  <si>
    <t>Stöckenstrasse 20a</t>
  </si>
  <si>
    <t>CHE-486.486.845</t>
  </si>
  <si>
    <t>MS Holding GmbH</t>
  </si>
  <si>
    <t>CHE-427.427.376</t>
  </si>
  <si>
    <t>Max und Germaine Urben-Stiftung</t>
  </si>
  <si>
    <t>c/o Beat Blum</t>
  </si>
  <si>
    <t>Hölzlistrasse 11</t>
  </si>
  <si>
    <t>CHE-322.322.210</t>
  </si>
  <si>
    <t>Auto Staub AG</t>
  </si>
  <si>
    <t>Halteweg 2</t>
  </si>
  <si>
    <t>CHE-320.320.757</t>
  </si>
  <si>
    <t>histronomie.ch grütter</t>
  </si>
  <si>
    <t>CHE-324.324.287</t>
  </si>
  <si>
    <t>AllWörker GmbH</t>
  </si>
  <si>
    <t>Untere Dürrmühle 9</t>
  </si>
  <si>
    <t>CHE-424.424.019</t>
  </si>
  <si>
    <t>E-Commerce Baschung</t>
  </si>
  <si>
    <t>Dorfstrasse 9A</t>
  </si>
  <si>
    <t>CHE-302.302.159</t>
  </si>
  <si>
    <t>Cenobit AG</t>
  </si>
  <si>
    <t>c/o Beat Münch</t>
  </si>
  <si>
    <t>Rosenweg 10</t>
  </si>
  <si>
    <t>CHE-406.406.663</t>
  </si>
  <si>
    <t>Leo Bodenbeläge GmbH</t>
  </si>
  <si>
    <t>c/o Isen Ajredini</t>
  </si>
  <si>
    <t>Buechholzweg 10</t>
  </si>
  <si>
    <t>CHE-179.179.873</t>
  </si>
  <si>
    <t>Grossenbacher Weine GmbH</t>
  </si>
  <si>
    <t>Jurastrasse 28</t>
  </si>
  <si>
    <t>CHE-464.464.979</t>
  </si>
  <si>
    <t>GeneralHaus GmbH</t>
  </si>
  <si>
    <t>CHE-229.229.772</t>
  </si>
  <si>
    <t>CHE-150.150.969</t>
  </si>
  <si>
    <t>Wirktisch GmbH</t>
  </si>
  <si>
    <t>Bettenhausenstrasse 58</t>
  </si>
  <si>
    <t>CHE-170.170.315</t>
  </si>
  <si>
    <t>ST Group GmbH</t>
  </si>
  <si>
    <t>c/o ServiceTech GmbH</t>
  </si>
  <si>
    <t>CHE-183.183.624</t>
  </si>
  <si>
    <t>Hunziker-Montage GmbH</t>
  </si>
  <si>
    <t>Lebachgasse 9</t>
  </si>
  <si>
    <t>CHE-475.475.606</t>
  </si>
  <si>
    <t>Baruzzo Architekten + Immobilien</t>
  </si>
  <si>
    <t>CHE-476.476.203</t>
  </si>
  <si>
    <t>Catering Pranjic</t>
  </si>
  <si>
    <t>Zegliweg 3</t>
  </si>
  <si>
    <t>CHE-410.410.174</t>
  </si>
  <si>
    <t>KEBmusic - Leimgruber Georg</t>
  </si>
  <si>
    <t>CHE-275.275.007</t>
  </si>
  <si>
    <t>Gauch Consulting GmbH</t>
  </si>
  <si>
    <t>Seilerstrasse 14</t>
  </si>
  <si>
    <t>CHE-446.446.099</t>
  </si>
  <si>
    <t>Pestoni Bodenbeläge</t>
  </si>
  <si>
    <t>CHE-425.425.394</t>
  </si>
  <si>
    <t>Immobilienmaklerin Ruth Jörg</t>
  </si>
  <si>
    <t>Farbgasse 22</t>
  </si>
  <si>
    <t>CHE-306.306.126</t>
  </si>
  <si>
    <t>homecar gmbh</t>
  </si>
  <si>
    <t>CHE-217.217.023</t>
  </si>
  <si>
    <t>Dilara Pizza GmbH</t>
  </si>
  <si>
    <t>Beundenstrasse 8</t>
  </si>
  <si>
    <t>CHE-259.259.465</t>
  </si>
  <si>
    <t>goes SME AG</t>
  </si>
  <si>
    <t>c/o Benjamin Reinmann</t>
  </si>
  <si>
    <t>CHE-215.215.253</t>
  </si>
  <si>
    <t>Durband Creative Laboratory</t>
  </si>
  <si>
    <t>Geissbergweg 12</t>
  </si>
  <si>
    <t>CHE-197.197.190</t>
  </si>
  <si>
    <t>Rozmaxx GmbH</t>
  </si>
  <si>
    <t>CHE-167.167.156</t>
  </si>
  <si>
    <t>Praxis Posthaus AG</t>
  </si>
  <si>
    <t>CHE-381.381.925</t>
  </si>
  <si>
    <t>Pink Point GmbH</t>
  </si>
  <si>
    <t>CHE-232.232.876</t>
  </si>
  <si>
    <t>AMRAIN INVEST AG</t>
  </si>
  <si>
    <t>Dorfstrasse 26</t>
  </si>
  <si>
    <t>CHE-285.285.065</t>
  </si>
  <si>
    <t>Röntgeninstitut Langenthal AG</t>
  </si>
  <si>
    <t>Q869006</t>
  </si>
  <si>
    <t>Medizinische Labors</t>
  </si>
  <si>
    <t>CHE-143.143.639</t>
  </si>
  <si>
    <t>Autoportal Moukarzele</t>
  </si>
  <si>
    <t>Johanniterweg 3</t>
  </si>
  <si>
    <t>CHE-308.308.210</t>
  </si>
  <si>
    <t>CHE-478.478.669</t>
  </si>
  <si>
    <t>Immo Lüthi Holding AG</t>
  </si>
  <si>
    <t>Steingasse 31</t>
  </si>
  <si>
    <t>CHE-466.466.468</t>
  </si>
  <si>
    <t>Rütti Industriedienstleistungen GmbH</t>
  </si>
  <si>
    <t>Grundackerweg 7</t>
  </si>
  <si>
    <t>CHE-447.447.693</t>
  </si>
  <si>
    <t>Reinmann Verpackungstechnik GmbH</t>
  </si>
  <si>
    <t>CHE-440.440.745</t>
  </si>
  <si>
    <t>Vitasphère Immobilien AG</t>
  </si>
  <si>
    <t>CHE-368.368.709</t>
  </si>
  <si>
    <t>Zehnder Elektrotechnik AG</t>
  </si>
  <si>
    <t>CHE-366.366.887</t>
  </si>
  <si>
    <t>FAFF Transport GmbH</t>
  </si>
  <si>
    <t>Aarwangenstrasse 45</t>
  </si>
  <si>
    <t>CHE-323.323.871</t>
  </si>
  <si>
    <t>Geflu AG</t>
  </si>
  <si>
    <t>CHE-492.492.968</t>
  </si>
  <si>
    <t>Müller Martin &amp; Partner GmbH</t>
  </si>
  <si>
    <t>CHE-236.236.857</t>
  </si>
  <si>
    <t>Fahrschule Straubhaar GmbH</t>
  </si>
  <si>
    <t>Baumgartenweg 5</t>
  </si>
  <si>
    <t>CHE-451.451.468</t>
  </si>
  <si>
    <t>Kasema AG</t>
  </si>
  <si>
    <t>CHE-476.476.569</t>
  </si>
  <si>
    <t>MEWAG Rohrbiegetechnik GmbH</t>
  </si>
  <si>
    <t>Flugplatz 20</t>
  </si>
  <si>
    <t>CHE-298.298.262</t>
  </si>
  <si>
    <t>Dorfladen Gondiswil, Schärli Theres</t>
  </si>
  <si>
    <t>Dorfstrasse 43c</t>
  </si>
  <si>
    <t>CHE-242.242.076</t>
  </si>
  <si>
    <t>wemitec GmbH</t>
  </si>
  <si>
    <t>CHE-489.489.896</t>
  </si>
  <si>
    <t>Karolina Vucenovic Nails</t>
  </si>
  <si>
    <t>Wydenstrasse 25</t>
  </si>
  <si>
    <t>CHE-173.173.579</t>
  </si>
  <si>
    <t>Boat &amp; Carness GmbH</t>
  </si>
  <si>
    <t>CHE-423.423.552</t>
  </si>
  <si>
    <t>Schreinerei Christoph Leuenberger</t>
  </si>
  <si>
    <t>CHE-166.166.814</t>
  </si>
  <si>
    <t>djm Consulting GmbH</t>
  </si>
  <si>
    <t>CHE-495.495.308</t>
  </si>
  <si>
    <t>Stadelmann Baurealisierung GmbH</t>
  </si>
  <si>
    <t>c/o Roger Stadelmann</t>
  </si>
  <si>
    <t>Grundackerweg 16</t>
  </si>
  <si>
    <t>CHE-495.495.900</t>
  </si>
  <si>
    <t>Halbeisen Underwear AG</t>
  </si>
  <si>
    <t>c/o Inga Halbeisen Góngora Salmerón</t>
  </si>
  <si>
    <t>Baselstrasse 6</t>
  </si>
  <si>
    <t>CHE-488.488.616</t>
  </si>
  <si>
    <t>Atelier John Candlish</t>
  </si>
  <si>
    <t>CHE-483.483.313</t>
  </si>
  <si>
    <t>Autohilfe Stettler GmbH</t>
  </si>
  <si>
    <t>CHE-483.483.122</t>
  </si>
  <si>
    <t>Buchmüller Garten</t>
  </si>
  <si>
    <t>Schulstrasse 4a</t>
  </si>
  <si>
    <t>CHE-480.480.206</t>
  </si>
  <si>
    <t>phy Holding AG</t>
  </si>
  <si>
    <t>c/o Graber Baumaschinen AG</t>
  </si>
  <si>
    <t>Gaswerkstrasse 66</t>
  </si>
  <si>
    <t>CHE-477.477.386</t>
  </si>
  <si>
    <t>Belli's Eventlokal GmbH</t>
  </si>
  <si>
    <t>Mange 6</t>
  </si>
  <si>
    <t>CHE-479.479.807</t>
  </si>
  <si>
    <t>Geschenke mit Sinn - Ann Johansson</t>
  </si>
  <si>
    <t>Steingasse 29</t>
  </si>
  <si>
    <t>CHE-478.478.340</t>
  </si>
  <si>
    <t>Brudermann's Gärten GmbH</t>
  </si>
  <si>
    <t>Gerzmattstrasse 11</t>
  </si>
  <si>
    <t>CHE-476.476.077</t>
  </si>
  <si>
    <t>Wandee + Markus Graber GmbH</t>
  </si>
  <si>
    <t>Unterstrasse 23</t>
  </si>
  <si>
    <t>CHE-476.476.771</t>
  </si>
  <si>
    <t>CHE-473.473.752</t>
  </si>
  <si>
    <t>Souccess of God Afro Shop Abdul-Stephen Charles</t>
  </si>
  <si>
    <t>Wangenstrasse 35 A</t>
  </si>
  <si>
    <t>CHE-471.471.153</t>
  </si>
  <si>
    <t>Gloor IT Solutions</t>
  </si>
  <si>
    <t>CHE-466.466.878</t>
  </si>
  <si>
    <t>Stämpfligasse 1</t>
  </si>
  <si>
    <t>CHE-462.462.978</t>
  </si>
  <si>
    <t>Druckerei Gränicher</t>
  </si>
  <si>
    <t>CHE-463.463.643</t>
  </si>
  <si>
    <t>Hug und Leu GmbH</t>
  </si>
  <si>
    <t>CHE-454.454.747</t>
  </si>
  <si>
    <t>BL System Produktion GmbH</t>
  </si>
  <si>
    <t>C236400</t>
  </si>
  <si>
    <t>Herstellung von Mörtel und anderem Beton (Trockenbeton)</t>
  </si>
  <si>
    <t>CHE-440.440.951</t>
  </si>
  <si>
    <t>Pfennig Reinigungstechnik AG</t>
  </si>
  <si>
    <t>CHE-437.437.705</t>
  </si>
  <si>
    <t>opus 8 ag</t>
  </si>
  <si>
    <t>CHE-432.432.617</t>
  </si>
  <si>
    <t>MüllerBuchsImmo AG</t>
  </si>
  <si>
    <t>Turmweg 2</t>
  </si>
  <si>
    <t>CHE-269.269.758</t>
  </si>
  <si>
    <t>Heiniger Holding AG</t>
  </si>
  <si>
    <t>c/o Heiniger DL AG</t>
  </si>
  <si>
    <t>CHE-428.428.655</t>
  </si>
  <si>
    <t>beautylux AG</t>
  </si>
  <si>
    <t>CHE-428.428.831</t>
  </si>
  <si>
    <t>Montunato GmbH</t>
  </si>
  <si>
    <t>Obere Dürrmühle 11</t>
  </si>
  <si>
    <t>CHE-422.422.698</t>
  </si>
  <si>
    <t>swisskebab production.ch ag</t>
  </si>
  <si>
    <t>CHE-419.419.093</t>
  </si>
  <si>
    <t>Restaurant Pizzeria Zentrum Domenico Cucchiara</t>
  </si>
  <si>
    <t>CHE-418.418.779</t>
  </si>
  <si>
    <t>Berger &amp; Spätig Immobilien AG</t>
  </si>
  <si>
    <t>CHE-417.417.668</t>
  </si>
  <si>
    <t>Bar55 GmbH</t>
  </si>
  <si>
    <t>CHE-417.417.609</t>
  </si>
  <si>
    <t>Bertschy Unternehmungen GmbH</t>
  </si>
  <si>
    <t>c/o Eric Bertschy</t>
  </si>
  <si>
    <t>Belzerngässli 1a</t>
  </si>
  <si>
    <t>CHE-417.417.202</t>
  </si>
  <si>
    <t>Ryf + Hirschi Transporte GmbH</t>
  </si>
  <si>
    <t>Rainweg 14</t>
  </si>
  <si>
    <t>CHE-412.412.469</t>
  </si>
  <si>
    <t>maz technik GmbH</t>
  </si>
  <si>
    <t>CHE-412.412.423</t>
  </si>
  <si>
    <t>Modell- und Formenbau Landolt</t>
  </si>
  <si>
    <t>CHE-410.410.541</t>
  </si>
  <si>
    <t>HAPPY - TOPS.CH KÄNZIG</t>
  </si>
  <si>
    <t>Farnsbergstrasse 28</t>
  </si>
  <si>
    <t>CHE-410.410.698</t>
  </si>
  <si>
    <t>Technologieberatung W. Stark</t>
  </si>
  <si>
    <t>Alpweg 28</t>
  </si>
  <si>
    <t>Spitalgasse 10</t>
  </si>
  <si>
    <t>CHE-409.409.219</t>
  </si>
  <si>
    <t>René Binggeli Nachfolger Peter Urwyler</t>
  </si>
  <si>
    <t>Riedgasse 36a</t>
  </si>
  <si>
    <t>CHE-404.404.531</t>
  </si>
  <si>
    <t>erreDIelle FACTORY Roberto Scolozzi</t>
  </si>
  <si>
    <t>Oltenstrasse 14</t>
  </si>
  <si>
    <t>CHE-395.395.098</t>
  </si>
  <si>
    <t>Bilranis Grosshandel GmbH</t>
  </si>
  <si>
    <t>CHE-395.395.183</t>
  </si>
  <si>
    <t>Fishing-Shop.ch Tokgöz</t>
  </si>
  <si>
    <t>Birkenweg 24</t>
  </si>
  <si>
    <t>CHE-386.386.681</t>
  </si>
  <si>
    <t>Osteopathie Doris Eugster-Burkhardt</t>
  </si>
  <si>
    <t>CHE-382.382.085</t>
  </si>
  <si>
    <t>physio3 Langetental GmbH</t>
  </si>
  <si>
    <t>CHE-360.360.748</t>
  </si>
  <si>
    <t>Ryser Holding AG</t>
  </si>
  <si>
    <t>Rainstrasse 3</t>
  </si>
  <si>
    <t>CHE-360.360.760</t>
  </si>
  <si>
    <t>Kühni Reinigungen</t>
  </si>
  <si>
    <t>Oberhardstrasse 24a</t>
  </si>
  <si>
    <t>CHE-351.351.134</t>
  </si>
  <si>
    <t>Montage Jan GmbH</t>
  </si>
  <si>
    <t>Kleinholz 13c</t>
  </si>
  <si>
    <t>CHE-400.400.364</t>
  </si>
  <si>
    <t>Bodenbeläge Sägesser &amp; Flückiger GmbH</t>
  </si>
  <si>
    <t>Luzernstrasse 9</t>
  </si>
  <si>
    <t>CHE-427.427.976</t>
  </si>
  <si>
    <t>Jordi Gastro GmbH</t>
  </si>
  <si>
    <t>Brunnenplatz 14</t>
  </si>
  <si>
    <t>CHE-402.402.941</t>
  </si>
  <si>
    <t>Gevors GmbH</t>
  </si>
  <si>
    <t>CHE-346.346.907</t>
  </si>
  <si>
    <t>yce solutions AG</t>
  </si>
  <si>
    <t>CHE-346.346.097</t>
  </si>
  <si>
    <t>Scaffpower.ch Service GmbH</t>
  </si>
  <si>
    <t>CHE-346.346.493</t>
  </si>
  <si>
    <t>BFR LAB Architekten GmbH</t>
  </si>
  <si>
    <t>Farbgasse 58a</t>
  </si>
  <si>
    <t>CHE-346.346.635</t>
  </si>
  <si>
    <t>Restaurant Kreuz, C. Michel</t>
  </si>
  <si>
    <t>Langenthalstrasse 9</t>
  </si>
  <si>
    <t>CHE-339.339.637</t>
  </si>
  <si>
    <t>Strömberg's Haus- und Hofwirtschaftsservice</t>
  </si>
  <si>
    <t>Wäckerschwend 91D</t>
  </si>
  <si>
    <t>CHE-331.331.549</t>
  </si>
  <si>
    <t>Lounche RoChé Meier</t>
  </si>
  <si>
    <t>CHE-329.329.839</t>
  </si>
  <si>
    <t>Rieder &amp; Lenz AG</t>
  </si>
  <si>
    <t>Zürichstrasse 24</t>
  </si>
  <si>
    <t>CHE-328.328.602</t>
  </si>
  <si>
    <t>CHE-327.327.179</t>
  </si>
  <si>
    <t>AD Kira AG</t>
  </si>
  <si>
    <t>Hauptstrasse 7</t>
  </si>
  <si>
    <t>CHE-324.324.175</t>
  </si>
  <si>
    <t>LTN Leitungsnetz GmbH</t>
  </si>
  <si>
    <t>Hölzlistrasse 17</t>
  </si>
  <si>
    <t>CHE-325.325.237</t>
  </si>
  <si>
    <t>Lanstein GmbH</t>
  </si>
  <si>
    <t>Dennliweg 76</t>
  </si>
  <si>
    <t>CHE-318.318.353</t>
  </si>
  <si>
    <t>MUBOR consulting GmbH</t>
  </si>
  <si>
    <t>CHE-316.316.584</t>
  </si>
  <si>
    <t>Restaurant Tyrol GmbH</t>
  </si>
  <si>
    <t>CHE-313.313.563</t>
  </si>
  <si>
    <t>CHE-313.313.351</t>
  </si>
  <si>
    <t>Burun Ishak</t>
  </si>
  <si>
    <t>Marktgasse 37</t>
  </si>
  <si>
    <t>CHE-313.313.787</t>
  </si>
  <si>
    <t>Scheine 131</t>
  </si>
  <si>
    <t>G478100</t>
  </si>
  <si>
    <t>Detailhandel mit Nahrungs- und Genussmitteln, Getränken und Tabakwaren an Verkaufsständen und auf Märkten</t>
  </si>
  <si>
    <t>CHE-309.309.034</t>
  </si>
  <si>
    <t>KMU-Investment Edith Krenger</t>
  </si>
  <si>
    <t>CHE-373.373.709</t>
  </si>
  <si>
    <t>Güegi-Quell GmbH</t>
  </si>
  <si>
    <t>Sonnrain 3</t>
  </si>
  <si>
    <t>CHE-283.283.798</t>
  </si>
  <si>
    <t>Anliker Imbiss</t>
  </si>
  <si>
    <t>Huttwilstrasse 36</t>
  </si>
  <si>
    <t>CHE-427.427.304</t>
  </si>
  <si>
    <t>smile365 AG</t>
  </si>
  <si>
    <t>CHE-102.102.122</t>
  </si>
  <si>
    <t>Fotozone Langenthal AG</t>
  </si>
  <si>
    <t>CHE-106.106.454</t>
  </si>
  <si>
    <t>Peter Lerch, Pele Computer</t>
  </si>
  <si>
    <t>CHE-114.114.343</t>
  </si>
  <si>
    <t>Stadthofpraxis Dres. med. A. und C. Steinmann</t>
  </si>
  <si>
    <t>CHE-102.102.322</t>
  </si>
  <si>
    <t>Schwarz AG</t>
  </si>
  <si>
    <t>Hofmattstrasse 24</t>
  </si>
  <si>
    <t>CHE-458.458.213</t>
  </si>
  <si>
    <t>psychologische Beratung, 8same Schritte, Andrea Gnägi</t>
  </si>
  <si>
    <t>CHE-101.101.436</t>
  </si>
  <si>
    <t>Montagebau, Adrian Bortolotti</t>
  </si>
  <si>
    <t>CHE-267.267.994</t>
  </si>
  <si>
    <t>CHE-275.275.834</t>
  </si>
  <si>
    <t>Facility Service Leuthold</t>
  </si>
  <si>
    <t>Moosstrasse 9</t>
  </si>
  <si>
    <t>CHE-254.254.495</t>
  </si>
  <si>
    <t>Brennerei Lanz</t>
  </si>
  <si>
    <t>CHE-113.113.482</t>
  </si>
  <si>
    <t>Elektro Brand</t>
  </si>
  <si>
    <t>Dorf 29 B</t>
  </si>
  <si>
    <t>CHE-115.115.690</t>
  </si>
  <si>
    <t>STIL.COIFFURE Claudia Faieta</t>
  </si>
  <si>
    <t>Unterholz 9</t>
  </si>
  <si>
    <t>CHE-215.215.980</t>
  </si>
  <si>
    <t>c/o Philipp Schärer</t>
  </si>
  <si>
    <t>Höhenweg 9</t>
  </si>
  <si>
    <t>CHE-109.109.757</t>
  </si>
  <si>
    <t>Rudolf Kopp + Co.</t>
  </si>
  <si>
    <t>Galgenholzweg 3</t>
  </si>
  <si>
    <t>CHE-175.175.160</t>
  </si>
  <si>
    <t>wefox Services Schweiz AG</t>
  </si>
  <si>
    <t>Langenthalstrasse 33</t>
  </si>
  <si>
    <t>CHE-115.115.831</t>
  </si>
  <si>
    <t>Praxis vitality Angelina Attinger</t>
  </si>
  <si>
    <t>Kirchgasse 25</t>
  </si>
  <si>
    <t>CHE-110.110.877</t>
  </si>
  <si>
    <t>Nyfeler Consulting</t>
  </si>
  <si>
    <t>Bergwald 1</t>
  </si>
  <si>
    <t>CHE-263.263.331</t>
  </si>
  <si>
    <t>Restaurant Flügerli Dätwyler</t>
  </si>
  <si>
    <t>CHE-109.109.336</t>
  </si>
  <si>
    <t>Restaurant Löwen, Armin Lüthi</t>
  </si>
  <si>
    <t>CHE-112.112.378</t>
  </si>
  <si>
    <t>Restaurant zur Linde De Jesus da Silva</t>
  </si>
  <si>
    <t>Aeschistrasse 25</t>
  </si>
  <si>
    <t>CHE-327.327.597</t>
  </si>
  <si>
    <t>adpunctum. Sabine Mühlethaler</t>
  </si>
  <si>
    <t>CHE-103.103.445</t>
  </si>
  <si>
    <t>Crisol Holding GmbH</t>
  </si>
  <si>
    <t>CHE-335.335.973</t>
  </si>
  <si>
    <t>NZO-TRA AG</t>
  </si>
  <si>
    <t>CHE-110.110.568</t>
  </si>
  <si>
    <t>Highendstudio AG</t>
  </si>
  <si>
    <t>Badstrasse 4</t>
  </si>
  <si>
    <t>CHE-114.114.653</t>
  </si>
  <si>
    <t>BR Trade &amp; Consulting GmbH</t>
  </si>
  <si>
    <t>Thörigenstrasse 16</t>
  </si>
  <si>
    <t>CHE-108.108.483</t>
  </si>
  <si>
    <t>Hot Stuff Tattoo Shop, Sägesser</t>
  </si>
  <si>
    <t>Lotzwilstrasse 49</t>
  </si>
  <si>
    <t>CHE-107.107.701</t>
  </si>
  <si>
    <t>Markus Lehmann</t>
  </si>
  <si>
    <t>Langenthalstrasse 39</t>
  </si>
  <si>
    <t>Minder AG Service</t>
  </si>
  <si>
    <t>CHE-109.109.677</t>
  </si>
  <si>
    <t>MAROWIL Fischereiartikel Robert Flury</t>
  </si>
  <si>
    <t>Solothurnstrasse 36</t>
  </si>
  <si>
    <t>Aegertenstrasse 40</t>
  </si>
  <si>
    <t>CHE-114.114.054</t>
  </si>
  <si>
    <t>Bösiger Motorsport AG</t>
  </si>
  <si>
    <t>CHE-352.352.823</t>
  </si>
  <si>
    <t>Stefanie Schneeberger</t>
  </si>
  <si>
    <t>c/o Stefanie Schneeberger</t>
  </si>
  <si>
    <t>Aeschistrasse 21c</t>
  </si>
  <si>
    <t>CHE-107.107.948</t>
  </si>
  <si>
    <t>M. Jordi</t>
  </si>
  <si>
    <t>Jurastrasse 4</t>
  </si>
  <si>
    <t>Sternenstrasse 20</t>
  </si>
  <si>
    <t>CHE-107.107.573</t>
  </si>
  <si>
    <t>Schulthess + Co.</t>
  </si>
  <si>
    <t>CHE-107.107.216</t>
  </si>
  <si>
    <t>P. Graf AG</t>
  </si>
  <si>
    <t>CHE-106.106.090</t>
  </si>
  <si>
    <t>Max Seiler</t>
  </si>
  <si>
    <t>Holzgasse 13a</t>
  </si>
  <si>
    <t>CHE-148.148.931</t>
  </si>
  <si>
    <t>fishbreak AG</t>
  </si>
  <si>
    <t>Bernstrasse 38</t>
  </si>
  <si>
    <t>CHE-115.115.900</t>
  </si>
  <si>
    <t>Meister Montagen</t>
  </si>
  <si>
    <t>CHE-116.116.607</t>
  </si>
  <si>
    <t>Creation Beatrice Burri</t>
  </si>
  <si>
    <t>Sonnenboden 79</t>
  </si>
  <si>
    <t>CHE-115.115.946</t>
  </si>
  <si>
    <t>Metzgerei Soltermann</t>
  </si>
  <si>
    <t>Bachstrasse 2</t>
  </si>
  <si>
    <t>AGRO-TREUHAND Waldhof</t>
  </si>
  <si>
    <t>CHE-114.114.375</t>
  </si>
  <si>
    <t>Swiss Green Power GmbH</t>
  </si>
  <si>
    <t>CHE-255.255.214</t>
  </si>
  <si>
    <t>Suisse Immobilien AG</t>
  </si>
  <si>
    <t>c/o Jürg Metzener</t>
  </si>
  <si>
    <t>Sunnhalde 24</t>
  </si>
  <si>
    <t>CHE-220.220.700</t>
  </si>
  <si>
    <t>Beundenrain 21</t>
  </si>
  <si>
    <t>CHE-364.364.733</t>
  </si>
  <si>
    <t>The Palms Thai Massage GmbH</t>
  </si>
  <si>
    <t>c/o Rattanaphorn Kappenthuler</t>
  </si>
  <si>
    <t>Schmittenstrasse 40</t>
  </si>
  <si>
    <t>Verein Spitex Oberes Langetental</t>
  </si>
  <si>
    <t>Fritz Gygli</t>
  </si>
  <si>
    <t>Hauptstrasse 14</t>
  </si>
  <si>
    <t>CHE-113.113.770</t>
  </si>
  <si>
    <t>Hasenfratz + Strebel Architekten AG</t>
  </si>
  <si>
    <t>CHE-113.113.960</t>
  </si>
  <si>
    <t>Autolackiererei Hoppy GmbH</t>
  </si>
  <si>
    <t>CHE-255.255.895</t>
  </si>
  <si>
    <t>Rentsch Schreinerei</t>
  </si>
  <si>
    <t>Brunnenstrasse 17</t>
  </si>
  <si>
    <t>CHE-429.429.093</t>
  </si>
  <si>
    <t>Suresh Kumar Gaststube</t>
  </si>
  <si>
    <t>CHE-113.113.069</t>
  </si>
  <si>
    <t>Bon-Vin Sigi Burkia</t>
  </si>
  <si>
    <t>Unterholz 11</t>
  </si>
  <si>
    <t>CHE-105.105.325</t>
  </si>
  <si>
    <t>carrolack - Carrosserie Martin Schneider</t>
  </si>
  <si>
    <t>Kreuzfeldweg 26</t>
  </si>
  <si>
    <t>CHE-104.104.795</t>
  </si>
  <si>
    <t>Task Line Tschannen</t>
  </si>
  <si>
    <t>Dorfstrasse 58</t>
  </si>
  <si>
    <t>CHE-110.110.740</t>
  </si>
  <si>
    <t>WALO Holzbau Zimmerei- Innenausbau W. Loosli</t>
  </si>
  <si>
    <t>Dorfstrasse 113 G</t>
  </si>
  <si>
    <t>CHE-166.166.862</t>
  </si>
  <si>
    <t>Sport- und Massagestudio durch-atmen.ch Véronique von Arx</t>
  </si>
  <si>
    <t>CHE-107.107.825</t>
  </si>
  <si>
    <t>Norfi Umwelttechnik AG</t>
  </si>
  <si>
    <t>Wangenriedstrasse 3</t>
  </si>
  <si>
    <t>CHE-141.141.875</t>
  </si>
  <si>
    <t>Loft5 Coiffure Bergamo</t>
  </si>
  <si>
    <t>CHE-347.347.327</t>
  </si>
  <si>
    <t>wefox Switzerland AG</t>
  </si>
  <si>
    <t>CHE-263.263.288</t>
  </si>
  <si>
    <t>Winkelmann Viehhandel AG</t>
  </si>
  <si>
    <t>CHE-435.435.363</t>
  </si>
  <si>
    <t>Prameda GmbH</t>
  </si>
  <si>
    <t>Erlibachweg 7</t>
  </si>
  <si>
    <t>CHE-280.280.466</t>
  </si>
  <si>
    <t>Staub Strassenbau AG</t>
  </si>
  <si>
    <t>Dahlienweg 5</t>
  </si>
  <si>
    <t>CHE-155.155.737</t>
  </si>
  <si>
    <t>landschaftsar.ch Oliver Straumann</t>
  </si>
  <si>
    <t>CHE-378.378.056</t>
  </si>
  <si>
    <t>Bingo Express Emine Kilic</t>
  </si>
  <si>
    <t>CHE-107.107.468</t>
  </si>
  <si>
    <t>René Trüssel</t>
  </si>
  <si>
    <t>CHE-274.274.437</t>
  </si>
  <si>
    <t>Optik Römmel GmbH</t>
  </si>
  <si>
    <t>Wangenstrasse 20</t>
  </si>
  <si>
    <t>CHE-108.108.029</t>
  </si>
  <si>
    <t>Graber + Kopp AG für Energiesysteme</t>
  </si>
  <si>
    <t>Zürichstrasse 11b</t>
  </si>
  <si>
    <t>CHE-107.107.711</t>
  </si>
  <si>
    <t>Andreas Schärer Treuhand GmbH</t>
  </si>
  <si>
    <t>Oberstrasse 8</t>
  </si>
  <si>
    <t>Beyer Herbert</t>
  </si>
  <si>
    <t>Erlenweg 36</t>
  </si>
  <si>
    <t>pit team GmbH</t>
  </si>
  <si>
    <t>Dorf 34</t>
  </si>
  <si>
    <t>CHE-168.168.098</t>
  </si>
  <si>
    <t>Göweil Schweiz AG</t>
  </si>
  <si>
    <t>Allmendstrasse 8</t>
  </si>
  <si>
    <t>CHE-266.266.410</t>
  </si>
  <si>
    <t>Velo-Galerie Lüthi AG</t>
  </si>
  <si>
    <t>Lotzwilstrasse 67</t>
  </si>
  <si>
    <t>CHE-115.115.422</t>
  </si>
  <si>
    <t>Natur Flor Küng</t>
  </si>
  <si>
    <t>Feldstrasse 3</t>
  </si>
  <si>
    <t>CHE-424.424.093</t>
  </si>
  <si>
    <t>Unterer Bündtenackerweg 8</t>
  </si>
  <si>
    <t>CHE-112.112.915</t>
  </si>
  <si>
    <t>Schüpbach Inneneinrichtungen</t>
  </si>
  <si>
    <t>CHE-193.193.765</t>
  </si>
  <si>
    <t>Auto Studer AG</t>
  </si>
  <si>
    <t>CHE-422.422.131</t>
  </si>
  <si>
    <t>Ganzheitliche Bestatterin Karin Mathys-Flückiger</t>
  </si>
  <si>
    <t>Hohmattweg 11</t>
  </si>
  <si>
    <t>CHE-113.113.880</t>
  </si>
  <si>
    <t>Grütter Block- und Holzbau GmbH</t>
  </si>
  <si>
    <t>Höhenweg 41</t>
  </si>
  <si>
    <t>CHE-113.113.331</t>
  </si>
  <si>
    <t>Graberleder GmbH</t>
  </si>
  <si>
    <t>Luzernstrasse 31</t>
  </si>
  <si>
    <t>C151100</t>
  </si>
  <si>
    <t>Herstellung von Leder und Lederfaserstoff; Zurichtung und Färben von Fellen</t>
  </si>
  <si>
    <t>CHE-115.115.761</t>
  </si>
  <si>
    <t>Rentsch Hauswartungen</t>
  </si>
  <si>
    <t>CHE-113.113.816</t>
  </si>
  <si>
    <t>Kölliker Consulting GmbH</t>
  </si>
  <si>
    <t>Poststrasse 7</t>
  </si>
  <si>
    <t>CHE-113.113.347</t>
  </si>
  <si>
    <t>Andrea Grau Cosmetic</t>
  </si>
  <si>
    <t>CHE-153.153.855</t>
  </si>
  <si>
    <t>Ryf Gartenbau</t>
  </si>
  <si>
    <t>Staldenstrasse 9</t>
  </si>
  <si>
    <t>CHE-115.115.404</t>
  </si>
  <si>
    <t>Carrosserie Jost GmbH</t>
  </si>
  <si>
    <t>Oberstrasse 50</t>
  </si>
  <si>
    <t>CHE-181.181.184</t>
  </si>
  <si>
    <t>Malerei Jan Geissbühler</t>
  </si>
  <si>
    <t>CHE-112.112.407</t>
  </si>
  <si>
    <t>buchsi-vet ag</t>
  </si>
  <si>
    <t>Flisch IT</t>
  </si>
  <si>
    <t>Weihergasse 23</t>
  </si>
  <si>
    <t>CHE-107.107.575</t>
  </si>
  <si>
    <t>R. Fornaro, Kunstschmiede und Metallgestaltung</t>
  </si>
  <si>
    <t>Birkenweg 5</t>
  </si>
  <si>
    <t>CHE-107.107.306</t>
  </si>
  <si>
    <t>Reto Hosner</t>
  </si>
  <si>
    <t>CHE-230.230.972</t>
  </si>
  <si>
    <t>SR Metall GmbH</t>
  </si>
  <si>
    <t>Gässli 1</t>
  </si>
  <si>
    <t>CHE-106.106.787</t>
  </si>
  <si>
    <t>Bospi AG</t>
  </si>
  <si>
    <t>CHE-294.294.221</t>
  </si>
  <si>
    <t>Glas Trösch AG, Zweigniederlassung Rail</t>
  </si>
  <si>
    <t>Unterdorf 45</t>
  </si>
  <si>
    <t>CHE-107.107.129</t>
  </si>
  <si>
    <t>Christen Foto</t>
  </si>
  <si>
    <t>Farbgasse 21</t>
  </si>
  <si>
    <t>CHE-103.103.951</t>
  </si>
  <si>
    <t>Ernst Häusermann AG</t>
  </si>
  <si>
    <t>Nähzenter Germann</t>
  </si>
  <si>
    <t>Aarwangenstr. 4</t>
  </si>
  <si>
    <t>CHE-496.496.941</t>
  </si>
  <si>
    <t>Dachfit GmbH</t>
  </si>
  <si>
    <t>CHE-312.312.409</t>
  </si>
  <si>
    <t>Gugelicious - Carina Freiburghaus</t>
  </si>
  <si>
    <t>Vogelsangweg 10</t>
  </si>
  <si>
    <t>CHE-319.319.071</t>
  </si>
  <si>
    <t>D. Born Immobilien AG</t>
  </si>
  <si>
    <t>Untere Dürrmühlestrasse 7</t>
  </si>
  <si>
    <t>CHE-413.413.012</t>
  </si>
  <si>
    <t>TKE Renovation Taicon</t>
  </si>
  <si>
    <t>CHE-454.454.852</t>
  </si>
  <si>
    <t>Snack de Heck Permanent culture GmbH</t>
  </si>
  <si>
    <t>Gerzmattstrasse 16</t>
  </si>
  <si>
    <t>CHE-460.460.188</t>
  </si>
  <si>
    <t>POTA DOMINICANA INH. POP</t>
  </si>
  <si>
    <t>Thunstettenstrasse 56</t>
  </si>
  <si>
    <t>CHE-280.280.570</t>
  </si>
  <si>
    <t>One Planet Sustainables, Inh. Michel</t>
  </si>
  <si>
    <t>Bahnhofstrasse 75</t>
  </si>
  <si>
    <t>CHE-218.218.897</t>
  </si>
  <si>
    <t>Restaurant zum Bären KLG</t>
  </si>
  <si>
    <t>Brunnenplatz 16</t>
  </si>
  <si>
    <t>CHE-475.475.615</t>
  </si>
  <si>
    <t>EMILOU Invest AG</t>
  </si>
  <si>
    <t>CHE-400.400.046</t>
  </si>
  <si>
    <t>PapierStube Brigitte Pacitto</t>
  </si>
  <si>
    <t>Lorrainestrasse 9</t>
  </si>
  <si>
    <t>CHE-344.344.584</t>
  </si>
  <si>
    <t>M. Gerber AG, Tiefbau- &amp; Erdarbeiten</t>
  </si>
  <si>
    <t>CHE-404.404.713</t>
  </si>
  <si>
    <t>Beatrice Kuert ABCD</t>
  </si>
  <si>
    <t>CHE-310.310.189</t>
  </si>
  <si>
    <t>EQUASIO AG</t>
  </si>
  <si>
    <t>Jurastrasse 15</t>
  </si>
  <si>
    <t>CHE-268.268.505</t>
  </si>
  <si>
    <t>Lüchinger &amp; Experten GmbH</t>
  </si>
  <si>
    <t>Senta Simon-Strasse 2</t>
  </si>
  <si>
    <t>CHE-300.300.281</t>
  </si>
  <si>
    <t>Michu Witschi GmbH</t>
  </si>
  <si>
    <t>CHE-224.224.169</t>
  </si>
  <si>
    <t>KAS-JOST Markus Jost</t>
  </si>
  <si>
    <t>Schmiedeweg 8</t>
  </si>
  <si>
    <t>CHE-190.190.107</t>
  </si>
  <si>
    <t>WRevents Walter Rohrbach</t>
  </si>
  <si>
    <t>Brügglisackerweg 34</t>
  </si>
  <si>
    <t>CHE-115.115.582</t>
  </si>
  <si>
    <t>panamiga Luigi Chiarot</t>
  </si>
  <si>
    <t>Marktgasse 14</t>
  </si>
  <si>
    <t>CHE-115.115.386</t>
  </si>
  <si>
    <t>Ammann + Co.</t>
  </si>
  <si>
    <t>Wiesenstrasse 18</t>
  </si>
  <si>
    <t>CHE-108.108.046</t>
  </si>
  <si>
    <t>Blumeninsel Huttwil AG</t>
  </si>
  <si>
    <t>Fiechtenstrasse 5</t>
  </si>
  <si>
    <t>Drosselweg 2</t>
  </si>
  <si>
    <t>CHE-108.108.122</t>
  </si>
  <si>
    <t>Werner Mathys</t>
  </si>
  <si>
    <t>Häbernbadstrasse 442 A</t>
  </si>
  <si>
    <t>CHE-108.108.916</t>
  </si>
  <si>
    <t>Radio TV M. Schneider, Inh. Barbara Schneider</t>
  </si>
  <si>
    <t>Gaessli 6</t>
  </si>
  <si>
    <t>CHE-107.107.343</t>
  </si>
  <si>
    <t>Jürgen Leudolph</t>
  </si>
  <si>
    <t>Untere Duerrmuehlestrasse 13</t>
  </si>
  <si>
    <t>CHE-107.107.989</t>
  </si>
  <si>
    <t>Saisaa Giretheren V.S.</t>
  </si>
  <si>
    <t>Zeughausstrasse 21</t>
  </si>
  <si>
    <t>CHE-107.107.836</t>
  </si>
  <si>
    <t>Erich Gerber Treuhand</t>
  </si>
  <si>
    <t>CHE-107.107.996</t>
  </si>
  <si>
    <t>Smart unlimited, Maj McGuire-Jäggi</t>
  </si>
  <si>
    <t>Allmend 4</t>
  </si>
  <si>
    <t>Bürki Verpackungstechnik AG</t>
  </si>
  <si>
    <t>Niedermattstrasse 14</t>
  </si>
  <si>
    <t>C222200</t>
  </si>
  <si>
    <t>Herstellung von Verpackungsmitteln aus Kunststoffen</t>
  </si>
  <si>
    <t>Debrunner Engineering GmbH</t>
  </si>
  <si>
    <t>Buchenweg 3</t>
  </si>
  <si>
    <t>CHE-107.107.722</t>
  </si>
  <si>
    <t>Hager 99</t>
  </si>
  <si>
    <t>Etzensperger Informatik AG</t>
  </si>
  <si>
    <t>Kirchweg 24</t>
  </si>
  <si>
    <t>CHE-107.107.456</t>
  </si>
  <si>
    <t>LEI Soft, Peter Leisi</t>
  </si>
  <si>
    <t>Sonnenweg 3</t>
  </si>
  <si>
    <t>CHE-107.107.674</t>
  </si>
  <si>
    <t>Mühle Hosner, Nachf. Werner Hosner</t>
  </si>
  <si>
    <t>CHE-107.107.438</t>
  </si>
  <si>
    <t>Peter Beck AG</t>
  </si>
  <si>
    <t>CHE-107.107.171</t>
  </si>
  <si>
    <t>Restaurant Rebstock, E. Känzig</t>
  </si>
  <si>
    <t>Bielstrasse 1</t>
  </si>
  <si>
    <t>CHE-107.107.823</t>
  </si>
  <si>
    <t>Hugo Horisberger Autofahrschule</t>
  </si>
  <si>
    <t>Stelliweg 18</t>
  </si>
  <si>
    <t>CHE-107.107.260</t>
  </si>
  <si>
    <t>Jakob Lötscher</t>
  </si>
  <si>
    <t>Badgasse 5</t>
  </si>
  <si>
    <t>R. Wüthrich-Iff Migrol-Tankstelle</t>
  </si>
  <si>
    <t>Unterstrasse 24</t>
  </si>
  <si>
    <t>Herzogenbuchse</t>
  </si>
  <si>
    <t>CHE-107.107.467</t>
  </si>
  <si>
    <t>CHE-107.107.001</t>
  </si>
  <si>
    <t>Coiffeursalon Brügger</t>
  </si>
  <si>
    <t>Burgdorfstrasse 4</t>
  </si>
  <si>
    <t>CHE-107.107.912</t>
  </si>
  <si>
    <t>Schneider-online24.ch</t>
  </si>
  <si>
    <t>Zuber Beat</t>
  </si>
  <si>
    <t>Unterholz 17</t>
  </si>
  <si>
    <t>Herzig &amp; Co.</t>
  </si>
  <si>
    <t>CHE-107.107.506</t>
  </si>
  <si>
    <t>Kalt Kundenmaurer und Gipserei</t>
  </si>
  <si>
    <t>Hagenbuchweg 1</t>
  </si>
  <si>
    <t>CHE-107.107.061</t>
  </si>
  <si>
    <t>Inneneinrichtungen Heinz Roth</t>
  </si>
  <si>
    <t>Wydenstrasse 12</t>
  </si>
  <si>
    <t>CHE-106.106.251</t>
  </si>
  <si>
    <t>Malergeschäft Christoph Brunschwiler</t>
  </si>
  <si>
    <t>Neustrasse 26</t>
  </si>
  <si>
    <t>CHE-106.106.784</t>
  </si>
  <si>
    <t>TIMA Holding AG</t>
  </si>
  <si>
    <t>CHE-106.106.760</t>
  </si>
  <si>
    <t>Stephan Moser, Kurier- und Kleintransporte</t>
  </si>
  <si>
    <t>Bipperstrasse 12</t>
  </si>
  <si>
    <t>CHE-106.106.414</t>
  </si>
  <si>
    <t>CHE-106.106.891</t>
  </si>
  <si>
    <t>Bachmann Reinigung und Wäscherei</t>
  </si>
  <si>
    <t>Bipperstrasse 37</t>
  </si>
  <si>
    <t>CHE-106.106.867</t>
  </si>
  <si>
    <t>Adelbert Meyer</t>
  </si>
  <si>
    <t>Saengeliweg 27</t>
  </si>
  <si>
    <t>CHE-105.105.172</t>
  </si>
  <si>
    <t>Jörg Wittwer</t>
  </si>
  <si>
    <t>Melchnaustrasse 7</t>
  </si>
  <si>
    <t>CHE-105.105.355</t>
  </si>
  <si>
    <t>M. Egli Metallbau GmbH</t>
  </si>
  <si>
    <t>CHE-104.104.500</t>
  </si>
  <si>
    <t>Backstage GmbH</t>
  </si>
  <si>
    <t>c/o David Andreas Satz</t>
  </si>
  <si>
    <t>CHE-104.104.478</t>
  </si>
  <si>
    <t>Frey Treuhand GmbH</t>
  </si>
  <si>
    <t>Zuerichstrasse 56</t>
  </si>
  <si>
    <t>CHE-112.112.205</t>
  </si>
  <si>
    <t>Personalvorsorge Aare Seeland Mobil AG</t>
  </si>
  <si>
    <t>c/o Aare Seeland Mobil AG</t>
  </si>
  <si>
    <t>Marktgasse 5</t>
  </si>
  <si>
    <t>CHE-102.102.514</t>
  </si>
  <si>
    <t>Heinz Greub</t>
  </si>
  <si>
    <t>Luzernstrasse 35</t>
  </si>
  <si>
    <t>CHE-102.102.688</t>
  </si>
  <si>
    <t>Bottina AG</t>
  </si>
  <si>
    <t>CHE-101.101.935</t>
  </si>
  <si>
    <t>Peter Stauffer</t>
  </si>
  <si>
    <t>Lehmgrube 47</t>
  </si>
  <si>
    <t>CHE-101.101.774</t>
  </si>
  <si>
    <t>Tertec AG</t>
  </si>
  <si>
    <t>CHE-101.101.822</t>
  </si>
  <si>
    <t>Cadruvi Trading AG</t>
  </si>
  <si>
    <t>CHE-101.101.820</t>
  </si>
  <si>
    <t>Brönnimann's Antique Auto Parts</t>
  </si>
  <si>
    <t>CHE-101.101.643</t>
  </si>
  <si>
    <t>Gasthof Löwen, Brand Thomas</t>
  </si>
  <si>
    <t>CHE-107.107.663</t>
  </si>
  <si>
    <t>Heilpädagogische Schule Oberaargau</t>
  </si>
  <si>
    <t>Schorenstrasse 19</t>
  </si>
  <si>
    <t>P852002</t>
  </si>
  <si>
    <t>Sonderschulen</t>
  </si>
  <si>
    <t>CHE-248.248.044</t>
  </si>
  <si>
    <t>Style Group GmbH</t>
  </si>
  <si>
    <t>CHE-455.455.174</t>
  </si>
  <si>
    <t>Balatti GmbH</t>
  </si>
  <si>
    <t>Wydenstrasse 27</t>
  </si>
  <si>
    <t>CHE-430.430.633</t>
  </si>
  <si>
    <t>Luximmo GmbH</t>
  </si>
  <si>
    <t>Blumenstrasse 1b</t>
  </si>
  <si>
    <t>CHE-158.158.853</t>
  </si>
  <si>
    <t>MZ Autocenter GmbH</t>
  </si>
  <si>
    <t>CHE-185.185.685</t>
  </si>
  <si>
    <t>Proja GmbH</t>
  </si>
  <si>
    <t>Buchiweg 6</t>
  </si>
  <si>
    <t>CHE-113.113.599</t>
  </si>
  <si>
    <t>Speiserestaurant Forst, Inhaberin S. Koch</t>
  </si>
  <si>
    <t>Forst 101</t>
  </si>
  <si>
    <t>CHE-106.106.616</t>
  </si>
  <si>
    <t>Autohaus Hard AG</t>
  </si>
  <si>
    <t>Chasseralstrasse 16</t>
  </si>
  <si>
    <t>CHE-165.165.317</t>
  </si>
  <si>
    <t>AA Bodenbeläge Adrian Anderegg</t>
  </si>
  <si>
    <t>CHE-334.334.541</t>
  </si>
  <si>
    <t>BaMa Invest GmbH</t>
  </si>
  <si>
    <t>Mattenweg 2</t>
  </si>
  <si>
    <t>CHE-223.223.306</t>
  </si>
  <si>
    <t>MetStyle GmbH</t>
  </si>
  <si>
    <t>Ahornstrasse 47</t>
  </si>
  <si>
    <t>CHE-104.104.889</t>
  </si>
  <si>
    <t>Oehrli &amp; Schär Nutzfahrzeuge GmbH</t>
  </si>
  <si>
    <t>Niederbippstr. 3</t>
  </si>
  <si>
    <t>CHE-174.174.917</t>
  </si>
  <si>
    <t>Anton Gega, Gasthof Brauerei</t>
  </si>
  <si>
    <t>Untere Dürrmühlestrasse 2</t>
  </si>
  <si>
    <t>CHE-230.230.200</t>
  </si>
  <si>
    <t>Stegemann Flyrods</t>
  </si>
  <si>
    <t>CHE-244.244.033</t>
  </si>
  <si>
    <t>BlüeteMehr Inh. Röthlisberger</t>
  </si>
  <si>
    <t>CHE-481.481.936</t>
  </si>
  <si>
    <t>Reist Tours AG</t>
  </si>
  <si>
    <t>CHE-488.488.022</t>
  </si>
  <si>
    <t>RESTAURANT POST J. Kilchenmann</t>
  </si>
  <si>
    <t>Baselstrasse 4</t>
  </si>
  <si>
    <t>CHE-480.480.609</t>
  </si>
  <si>
    <t>Hausarztpraxis Rohrbach AG</t>
  </si>
  <si>
    <t>CHE-341.341.932</t>
  </si>
  <si>
    <t>Wangenstrasse 59</t>
  </si>
  <si>
    <t>CHE-419.419.815</t>
  </si>
  <si>
    <t>schneetimer GmbH</t>
  </si>
  <si>
    <t>Grossmattstrasse 17</t>
  </si>
  <si>
    <t>CHE-417.417.733</t>
  </si>
  <si>
    <t>Reinmann Gebäudehülle GmbH</t>
  </si>
  <si>
    <t>CHE-474.474.795</t>
  </si>
  <si>
    <t>Sun Store Health Care AG</t>
  </si>
  <si>
    <t>Hintergasse 12</t>
  </si>
  <si>
    <t>CHE-249.249.362</t>
  </si>
  <si>
    <t>soundspace stanley schwab</t>
  </si>
  <si>
    <t>Kirchgasse 1 b</t>
  </si>
  <si>
    <t>CHE-248.248.206</t>
  </si>
  <si>
    <t>Holz-Pool GmbH</t>
  </si>
  <si>
    <t>G461300</t>
  </si>
  <si>
    <t>Handelsvermittlung von Holz, Baustoffen und Anstrichmitteln</t>
  </si>
  <si>
    <t>CHE-133.133.653</t>
  </si>
  <si>
    <t>Almunec INGOLD</t>
  </si>
  <si>
    <t>CHE-115.115.084</t>
  </si>
  <si>
    <t>Salzmann + Heiniger GmbH</t>
  </si>
  <si>
    <t>c/o Rolf Salzmann und Marianne Heiniger-Kaderli</t>
  </si>
  <si>
    <t>Sonnheim 72 F</t>
  </si>
  <si>
    <t>CHE-115.115.668</t>
  </si>
  <si>
    <t>Ru-Mo-TECH Ruch</t>
  </si>
  <si>
    <t>Dorfstrasse 18</t>
  </si>
  <si>
    <t>CHE-115.115.198</t>
  </si>
  <si>
    <t>Mauro Faenzi Unabhängige Versicherung und Finanzplanung</t>
  </si>
  <si>
    <t>Ahornweg 5</t>
  </si>
  <si>
    <t>CHE-114.114.968</t>
  </si>
  <si>
    <t>Ötzibär Funk Service Lehmann</t>
  </si>
  <si>
    <t>Luzernstrasse 47</t>
  </si>
  <si>
    <t>CHE-113.113.927</t>
  </si>
  <si>
    <t>SAMOT TRANSport AG</t>
  </si>
  <si>
    <t>CHE-113.113.142</t>
  </si>
  <si>
    <t>uncomplex gmbh</t>
  </si>
  <si>
    <t>Brennofenstrasse 43</t>
  </si>
  <si>
    <t>CHE-113.113.757</t>
  </si>
  <si>
    <t>Klaus &amp; Kohler GmbH</t>
  </si>
  <si>
    <t>Käsereistrasse 7</t>
  </si>
  <si>
    <t>CHE-112.112.086</t>
  </si>
  <si>
    <t>Bluemestübli Verena Kummer</t>
  </si>
  <si>
    <t>CHE-112.112.388</t>
  </si>
  <si>
    <t>ITCT GmbH</t>
  </si>
  <si>
    <t>Brügglisackerweg 28</t>
  </si>
  <si>
    <t>CHE-110.110.442</t>
  </si>
  <si>
    <t>Gregor Schönau, Weinhandel</t>
  </si>
  <si>
    <t>CHE-109.109.247</t>
  </si>
  <si>
    <t>Personalvorsorgestiftung der Lantal Textiles</t>
  </si>
  <si>
    <t>c/o Lantal Textiles</t>
  </si>
  <si>
    <t>CHE-109.109.814</t>
  </si>
  <si>
    <t>Personalvorsorgestiftung der Zaugg AG Rohrbach</t>
  </si>
  <si>
    <t>CHE-109.109.072</t>
  </si>
  <si>
    <t>Baudienste Martin Herger</t>
  </si>
  <si>
    <t>Dorfstrasse 19 B</t>
  </si>
  <si>
    <t>CHE-108.108.581</t>
  </si>
  <si>
    <t>Walter Leuenberger</t>
  </si>
  <si>
    <t>A011300</t>
  </si>
  <si>
    <t>Anbau von Gemüse und Melonen sowie Wurzeln und Knollen</t>
  </si>
  <si>
    <t>Hugo Kölliker</t>
  </si>
  <si>
    <t>CHE-108.108.711</t>
  </si>
  <si>
    <t>BCT Burkhard</t>
  </si>
  <si>
    <t>c/o Dr. Jürg Burkhard</t>
  </si>
  <si>
    <t>Grasweg 5</t>
  </si>
  <si>
    <t>CHE-108.108.837</t>
  </si>
  <si>
    <t>Garage &amp; Autoelektro, Urs Gloor</t>
  </si>
  <si>
    <t>CHE-108.108.937</t>
  </si>
  <si>
    <t>AIRLA Flugzeugservice AG</t>
  </si>
  <si>
    <t>Martin Burkart</t>
  </si>
  <si>
    <t>Farbgasse 49</t>
  </si>
  <si>
    <t>CHE-107.107.542</t>
  </si>
  <si>
    <t>Palexa Kurt Hoffmann &amp; Co.</t>
  </si>
  <si>
    <t>Bleienbachstrasse 15</t>
  </si>
  <si>
    <t>C162400</t>
  </si>
  <si>
    <t>Herstellung von Verpackungsmitteln, Lagerbehältern und Ladungsträgern aus Holz</t>
  </si>
  <si>
    <t>CHE-107.107.011</t>
  </si>
  <si>
    <t>Esbest Medical Supply, Esther Stoller</t>
  </si>
  <si>
    <t>Jaegerweg 10</t>
  </si>
  <si>
    <t>CHE-107.107.371</t>
  </si>
  <si>
    <t>Masgo, Marketing-Services &amp; Sales, Gomez</t>
  </si>
  <si>
    <t>Tulpenweg 17</t>
  </si>
  <si>
    <t>CHE-107.107.441</t>
  </si>
  <si>
    <t>Uss User Software Service, Beat Stoller</t>
  </si>
  <si>
    <t>CHE-105.105.070</t>
  </si>
  <si>
    <t>CHE-105.105.432</t>
  </si>
  <si>
    <t>Unternehmen für Finanzfragen Heiniger</t>
  </si>
  <si>
    <t>Zeieweg 19</t>
  </si>
  <si>
    <t>CHE-104.104.238</t>
  </si>
  <si>
    <t>Brunschwiler Gärtnerei AG</t>
  </si>
  <si>
    <t>CHE-104.104.245</t>
  </si>
  <si>
    <t>Kurt Mechanik GmbH</t>
  </si>
  <si>
    <t>Wangenstrasse 4</t>
  </si>
  <si>
    <t>CHE-103.103.225</t>
  </si>
  <si>
    <t>Autofahrschule Möll</t>
  </si>
  <si>
    <t>Zuerichstrasse 52</t>
  </si>
  <si>
    <t>CHE-102.102.797</t>
  </si>
  <si>
    <t>Alpgenossenschaft Erzberg</t>
  </si>
  <si>
    <t>CHE-102.102.699</t>
  </si>
  <si>
    <t>CHE-101.101.694</t>
  </si>
  <si>
    <t>Milchgenossenschaft Lotzwil</t>
  </si>
  <si>
    <t>c/o Franz Leibundgut</t>
  </si>
  <si>
    <t>Huttwilstrasse 3</t>
  </si>
  <si>
    <t>CHE-101.101.535</t>
  </si>
  <si>
    <t>Zihl GmbH</t>
  </si>
  <si>
    <t>Dorfstr. 57</t>
  </si>
  <si>
    <t>CHE-100.100.635</t>
  </si>
  <si>
    <t>HP. Jost</t>
  </si>
  <si>
    <t>CHE-100.100.428</t>
  </si>
  <si>
    <t>Leni Michel</t>
  </si>
  <si>
    <t>Moosbergstrasse 34</t>
  </si>
  <si>
    <t>CHE-100.100.386</t>
  </si>
  <si>
    <t>Hinterarnialp-Aktiengesellschaft</t>
  </si>
  <si>
    <t>c/o Hektor Leuenberger</t>
  </si>
  <si>
    <t>CHE-100.100.439</t>
  </si>
  <si>
    <t>Gabi AG</t>
  </si>
  <si>
    <t>Dennliweg 17</t>
  </si>
  <si>
    <t>CHE-107.107.669</t>
  </si>
  <si>
    <t>Schaffimo AG</t>
  </si>
  <si>
    <t>CHE-293.293.564</t>
  </si>
  <si>
    <t>unkonventionell - Sabine Pfister</t>
  </si>
  <si>
    <t>CHE-291.291.269</t>
  </si>
  <si>
    <t>Loosli Gartenwelt GmbH</t>
  </si>
  <si>
    <t>Hauptstrasse 10</t>
  </si>
  <si>
    <t>CHE-288.288.674</t>
  </si>
  <si>
    <t>Prof. Dr. iur. Peter Ruf AG</t>
  </si>
  <si>
    <t>CHE-287.287.403</t>
  </si>
  <si>
    <t>Hiltbrunner Landmaschinen AG</t>
  </si>
  <si>
    <t>Hegen 28</t>
  </si>
  <si>
    <t>CHE-285.285.914</t>
  </si>
  <si>
    <t>Leben mit Technik Elektrobiologie GmbH</t>
  </si>
  <si>
    <t>Untere Mühle 45C</t>
  </si>
  <si>
    <t>CHE-279.279.251</t>
  </si>
  <si>
    <t>Ber 20 GmbH</t>
  </si>
  <si>
    <t>CHE-276.276.842</t>
  </si>
  <si>
    <t>GraLeu Holding AG</t>
  </si>
  <si>
    <t>CHE-276.276.367</t>
  </si>
  <si>
    <t>Schär Optik AG</t>
  </si>
  <si>
    <t>Bahnhofstrasse 41</t>
  </si>
  <si>
    <t>CHE-319.319.047</t>
  </si>
  <si>
    <t>Schlaarpe Büezer René Meier</t>
  </si>
  <si>
    <t>CHE-183.183.215</t>
  </si>
  <si>
    <t>Sollberger jun. Uhren+Optik</t>
  </si>
  <si>
    <t>CHE-109.109.860</t>
  </si>
  <si>
    <t>Land + Haus Bautreuhand AG</t>
  </si>
  <si>
    <t>CHE-497.497.809</t>
  </si>
  <si>
    <t>Praxis für Naturmedizin KLG</t>
  </si>
  <si>
    <t>Bernstrasse 39</t>
  </si>
  <si>
    <t>CHE-112.112.827</t>
  </si>
  <si>
    <t>TH-METALL GmbH</t>
  </si>
  <si>
    <t>CHE-107.107.520</t>
  </si>
  <si>
    <t>Studer Gartenbau AG</t>
  </si>
  <si>
    <t>CHE-132.132.139</t>
  </si>
  <si>
    <t>Oskar Lerch Ausbildungsstiftung</t>
  </si>
  <si>
    <t>CHE-115.115.036</t>
  </si>
  <si>
    <t>spitexana GmbH</t>
  </si>
  <si>
    <t>Poststrasse 1</t>
  </si>
  <si>
    <t>CHE-258.258.133</t>
  </si>
  <si>
    <t>Philip Schaller &amp; Partner</t>
  </si>
  <si>
    <t>CHE-107.107.223</t>
  </si>
  <si>
    <t>Bruno Käser AG</t>
  </si>
  <si>
    <t>CHE-320.320.090</t>
  </si>
  <si>
    <t>Hunziker Optik GmbH</t>
  </si>
  <si>
    <t>St. Urbanstrasse 18</t>
  </si>
  <si>
    <t>CHE-109.109.930</t>
  </si>
  <si>
    <t>Genossenschaft Kindertagesstätte Roggwil (kitaRo)</t>
  </si>
  <si>
    <t>CHE-106.106.425</t>
  </si>
  <si>
    <t>K &amp; W AG für Temporär- und Dauerstellen</t>
  </si>
  <si>
    <t>Zürichstrasse 9</t>
  </si>
  <si>
    <t>CHE-115.115.411</t>
  </si>
  <si>
    <t>Lufag Dämmsysteme AG</t>
  </si>
  <si>
    <t>Alleeweg 55</t>
  </si>
  <si>
    <t>holzx GmbH</t>
  </si>
  <si>
    <t>CHE-114.114.845</t>
  </si>
  <si>
    <t>Treufina Holding AG</t>
  </si>
  <si>
    <t>Mumenthalstrasse 69</t>
  </si>
  <si>
    <t>CHE-293.293.712</t>
  </si>
  <si>
    <t>Xhela GmbH</t>
  </si>
  <si>
    <t>Brunngasse 5</t>
  </si>
  <si>
    <t>CHE-140.140.033</t>
  </si>
  <si>
    <t>GM Immotrade AG</t>
  </si>
  <si>
    <t>c/o EBL GmbH</t>
  </si>
  <si>
    <t>CHE-292.292.459</t>
  </si>
  <si>
    <t>budget balance sonja märki</t>
  </si>
  <si>
    <t>Wangenstrasse 42</t>
  </si>
  <si>
    <t>CHE-101.101.033</t>
  </si>
  <si>
    <t>SUBSOLE AG</t>
  </si>
  <si>
    <t>CHE-112.112.940</t>
  </si>
  <si>
    <t>Inox Manufaktur GmbH</t>
  </si>
  <si>
    <t>CHE-206.206.062</t>
  </si>
  <si>
    <t>screinigung.ch Sajn</t>
  </si>
  <si>
    <t>Bannfeldstrasse 6</t>
  </si>
  <si>
    <t>CHE-390.390.454</t>
  </si>
  <si>
    <t>invest21 ag</t>
  </si>
  <si>
    <t>CHE-113.113.113</t>
  </si>
  <si>
    <t>Gohl Carreisen</t>
  </si>
  <si>
    <t>CHE-264.264.304</t>
  </si>
  <si>
    <t>Jumiru Holding AG</t>
  </si>
  <si>
    <t>c/o Urs Rutschmann</t>
  </si>
  <si>
    <t>Alpenstrasse 30</t>
  </si>
  <si>
    <t>CHE-262.262.823</t>
  </si>
  <si>
    <t>IRB Business Development GmbH</t>
  </si>
  <si>
    <t>Bleichestrasse 24B</t>
  </si>
  <si>
    <t>CHE-262.262.443</t>
  </si>
  <si>
    <t>Mavris Spyridon DYNAMIC</t>
  </si>
  <si>
    <t>Bahnhofstrasse 13</t>
  </si>
  <si>
    <t>CHE-259.259.439</t>
  </si>
  <si>
    <t>H + Z Rohrbach AG</t>
  </si>
  <si>
    <t>CHE-258.258.651</t>
  </si>
  <si>
    <t>ANy Beratungen GmbH</t>
  </si>
  <si>
    <t>CHE-410.410.204</t>
  </si>
  <si>
    <t>Energieholz Wangen GmbH</t>
  </si>
  <si>
    <t>CHE-273.273.568</t>
  </si>
  <si>
    <t>Simons Stotz Sustainable Practices</t>
  </si>
  <si>
    <t>Regenhaldenstrasse 35</t>
  </si>
  <si>
    <t>CHE-255.255.787</t>
  </si>
  <si>
    <t>Pamakin GmbH</t>
  </si>
  <si>
    <t>CHE-255.255.873</t>
  </si>
  <si>
    <t>IT Consulting Eggenschwiler</t>
  </si>
  <si>
    <t>CHE-247.247.709</t>
  </si>
  <si>
    <t>Kuert Druck AG Langenthal</t>
  </si>
  <si>
    <t>CHE-247.247.019</t>
  </si>
  <si>
    <t>François VARONIER Technische Übersetzungen D/E/F</t>
  </si>
  <si>
    <t>Mösli 4</t>
  </si>
  <si>
    <t>CHE-196.196.639</t>
  </si>
  <si>
    <t>Edelartig GmbH</t>
  </si>
  <si>
    <t>CHE-389.389.559</t>
  </si>
  <si>
    <t>FISCHER Technology AG</t>
  </si>
  <si>
    <t>CHE-114.114.736</t>
  </si>
  <si>
    <t>Urbanis GmbH</t>
  </si>
  <si>
    <t>Belchenstrasse 32</t>
  </si>
  <si>
    <t>CHE-243.243.705</t>
  </si>
  <si>
    <t>enjoy cosmetic GmbH</t>
  </si>
  <si>
    <t>CHE-242.242.266</t>
  </si>
  <si>
    <t>Suter's bike ambulance</t>
  </si>
  <si>
    <t>CHE-237.237.153</t>
  </si>
  <si>
    <t>Wüthrich LM AG</t>
  </si>
  <si>
    <t>CHE-270.270.727</t>
  </si>
  <si>
    <t>Generation Graber Holding GmbH</t>
  </si>
  <si>
    <t>c/o Daniel Graber Wärmetechnik GmbH</t>
  </si>
  <si>
    <t>Garage Kopp GmbH</t>
  </si>
  <si>
    <t>Bielstrasse 46</t>
  </si>
  <si>
    <t>CHE-201.201.855</t>
  </si>
  <si>
    <t>Wohnart Ingold GmbH</t>
  </si>
  <si>
    <t>Hauptstrasse 56</t>
  </si>
  <si>
    <t>CHE-103.103.987</t>
  </si>
  <si>
    <t>Syphu AG</t>
  </si>
  <si>
    <t>CHE-108.108.815</t>
  </si>
  <si>
    <t>Microbact AG</t>
  </si>
  <si>
    <t>CHE-236.236.878</t>
  </si>
  <si>
    <t>ENGEL COPERA AG</t>
  </si>
  <si>
    <t>CHE-232.232.116</t>
  </si>
  <si>
    <t>Hofstetter AG Flumenthal</t>
  </si>
  <si>
    <t>Weissensteinstrasse 26</t>
  </si>
  <si>
    <t>CHE-232.232.793</t>
  </si>
  <si>
    <t>Hulliger Holding AG</t>
  </si>
  <si>
    <t>Bläuenrainstrasse 22</t>
  </si>
  <si>
    <t>CHE-228.228.877</t>
  </si>
  <si>
    <t>Obi Montagen GmbH</t>
  </si>
  <si>
    <t>CHE-220.220.972</t>
  </si>
  <si>
    <t>Abschleppfix GmbH</t>
  </si>
  <si>
    <t>CHE-216.216.959</t>
  </si>
  <si>
    <t>BMN Verwaltungen AG</t>
  </si>
  <si>
    <t>Scharnagelnstrasse 4</t>
  </si>
  <si>
    <t>CHE-217.217.826</t>
  </si>
  <si>
    <t>dan 44 GmbH</t>
  </si>
  <si>
    <t>CHE-213.213.668</t>
  </si>
  <si>
    <t>Feldstrasse 2B</t>
  </si>
  <si>
    <t>CHE-205.205.202</t>
  </si>
  <si>
    <t>SuedamerikaReisen.com GmbH</t>
  </si>
  <si>
    <t>Rindermattweg 3</t>
  </si>
  <si>
    <t>Haldenstrasse 48</t>
  </si>
  <si>
    <t>CHE-205.205.543</t>
  </si>
  <si>
    <t>Ringstrasse 57</t>
  </si>
  <si>
    <t>CHE-203.203.856</t>
  </si>
  <si>
    <t>Toni Oetterli GmbH</t>
  </si>
  <si>
    <t>Murgenthalstrasse 67</t>
  </si>
  <si>
    <t>CHE-200.200.866</t>
  </si>
  <si>
    <t>Schreinerei Brudermann GmbH</t>
  </si>
  <si>
    <t>Lerchenweg 14</t>
  </si>
  <si>
    <t>CHE-198.198.885</t>
  </si>
  <si>
    <t>Metzgerei Mujo GmbH</t>
  </si>
  <si>
    <t>Hauptstrasse 28</t>
  </si>
  <si>
    <t>CHE-188.188.493</t>
  </si>
  <si>
    <t>Orthovida GmbH</t>
  </si>
  <si>
    <t>CHE-102.102.853</t>
  </si>
  <si>
    <t>Milchgenossenschaft Walliswil bei Wangen</t>
  </si>
  <si>
    <t>c/o Matthias Wagner</t>
  </si>
  <si>
    <t>Kirchweg 7</t>
  </si>
  <si>
    <t>CHE-114.114.216</t>
  </si>
  <si>
    <t>Hellwig Gastro-Highlight</t>
  </si>
  <si>
    <t>Flösch 12</t>
  </si>
  <si>
    <t>CHE-100.100.623</t>
  </si>
  <si>
    <t>Solid Dance Agency GmbH</t>
  </si>
  <si>
    <t>CHE-263.263.007</t>
  </si>
  <si>
    <t>E-Check Burgunder GmbH</t>
  </si>
  <si>
    <t>Rainstrasse 4</t>
  </si>
  <si>
    <t>CHE-102.102.114</t>
  </si>
  <si>
    <t>Region Oberaargau</t>
  </si>
  <si>
    <t>CHE-187.187.410</t>
  </si>
  <si>
    <t>medici architekten gmbh</t>
  </si>
  <si>
    <t>CHE-184.184.757</t>
  </si>
  <si>
    <t>restaurant à la cArte gmbh</t>
  </si>
  <si>
    <t>CHE-184.184.304</t>
  </si>
  <si>
    <t>VELO RAPP GmbH</t>
  </si>
  <si>
    <t>CHE-179.179.590</t>
  </si>
  <si>
    <t>Zemp Montagen GmbH</t>
  </si>
  <si>
    <t>Sonnhalde 23</t>
  </si>
  <si>
    <t>CHE-179.179.773</t>
  </si>
  <si>
    <t>Stiftung uruma</t>
  </si>
  <si>
    <t>CHE-344.344.924</t>
  </si>
  <si>
    <t>LED Werkstatt GmbH</t>
  </si>
  <si>
    <t>Buchsistrasse 22</t>
  </si>
  <si>
    <t>CHE-161.161.466</t>
  </si>
  <si>
    <t>Hobako Beteiligungen AG</t>
  </si>
  <si>
    <t>c/o Hobako AG</t>
  </si>
  <si>
    <t>CHE-150.150.827</t>
  </si>
  <si>
    <t>Kundenmetzgerei Käser GmbH</t>
  </si>
  <si>
    <t>CHE-149.149.354</t>
  </si>
  <si>
    <t>HomeCraftery - S. Gräub</t>
  </si>
  <si>
    <t>CHE-217.217.178</t>
  </si>
  <si>
    <t>Gastroenterologie Oberaargau AG</t>
  </si>
  <si>
    <t>CHE-101.101.042</t>
  </si>
  <si>
    <t>Stracasa GmbH</t>
  </si>
  <si>
    <t>Längacherstrasse 10</t>
  </si>
  <si>
    <t>CHE-144.144.604</t>
  </si>
  <si>
    <t>msvIT-Consulting GmbH</t>
  </si>
  <si>
    <t>Wysshölzlistrasse 30</t>
  </si>
  <si>
    <t>CHE-136.136.823</t>
  </si>
  <si>
    <t>New Consulting Lab GmbH</t>
  </si>
  <si>
    <t>CHE-116.116.868</t>
  </si>
  <si>
    <t>Lion Automobile AG</t>
  </si>
  <si>
    <t>CHE-116.116.732</t>
  </si>
  <si>
    <t>Hueb 131</t>
  </si>
  <si>
    <t>CHE-106.106.698</t>
  </si>
  <si>
    <t>Semi Supply AG</t>
  </si>
  <si>
    <t>CHE-116.116.549</t>
  </si>
  <si>
    <t>r. bösiger</t>
  </si>
  <si>
    <t>Bärebödeli 4</t>
  </si>
  <si>
    <t>CHE-116.116.503</t>
  </si>
  <si>
    <t>Dropa Drogerie Meyer</t>
  </si>
  <si>
    <t>CHE-110.110.316</t>
  </si>
  <si>
    <t>Steffen Bettwaren + Hilfsmittel AG</t>
  </si>
  <si>
    <t>CHE-115.115.484</t>
  </si>
  <si>
    <t>iNet Industries Mihajlovic</t>
  </si>
  <si>
    <t>Floraweg 6 b</t>
  </si>
  <si>
    <t>CHE-115.115.180</t>
  </si>
  <si>
    <t>Bluemigx Sandra Sommer</t>
  </si>
  <si>
    <t>oberer Glasbach 62a</t>
  </si>
  <si>
    <t>CHE-115.115.321</t>
  </si>
  <si>
    <t>Inno-Trend GmbH</t>
  </si>
  <si>
    <t>CHE-115.115.215</t>
  </si>
  <si>
    <t>Art Group GmbH</t>
  </si>
  <si>
    <t>CHE-115.115.190</t>
  </si>
  <si>
    <t>Stiftung Altmännervereinigung Herzogenbuchsee und Umgebung</t>
  </si>
  <si>
    <t>c/o Gemeindeschreiberei</t>
  </si>
  <si>
    <t>Bernstrasse 2</t>
  </si>
  <si>
    <t>CHE-115.115.054</t>
  </si>
  <si>
    <t>flachdach-service.ch Flückiger R.</t>
  </si>
  <si>
    <t>Feldstrasse 31</t>
  </si>
  <si>
    <t>CHE-115.115.925</t>
  </si>
  <si>
    <t>sincera Cosmetics Therese Hasler</t>
  </si>
  <si>
    <t>Lerchenweg 4b</t>
  </si>
  <si>
    <t>CHE-487.487.546</t>
  </si>
  <si>
    <t>Fahrschule Reinhard GmbH</t>
  </si>
  <si>
    <t>Mättenbergstrasse 24</t>
  </si>
  <si>
    <t>Gartenstrasse 11</t>
  </si>
  <si>
    <t>CHE-110.110.043</t>
  </si>
  <si>
    <t>Carrosserie Sägesser AG</t>
  </si>
  <si>
    <t>Zürichstrasse 33</t>
  </si>
  <si>
    <t>CHE-106.106.705</t>
  </si>
  <si>
    <t>Haus + Hof AG</t>
  </si>
  <si>
    <t>Postweg 3A</t>
  </si>
  <si>
    <t>CHE-138.138.881</t>
  </si>
  <si>
    <t>Aslani Autohandel</t>
  </si>
  <si>
    <t>Niederbippstrasse 13</t>
  </si>
  <si>
    <t>CHE-108.108.253</t>
  </si>
  <si>
    <t>TS Rundreifen GmbH</t>
  </si>
  <si>
    <t>Farbgasse 41</t>
  </si>
  <si>
    <t>CHE-267.267.724</t>
  </si>
  <si>
    <t>Logically BS AG</t>
  </si>
  <si>
    <t>CHE-114.114.205</t>
  </si>
  <si>
    <t>ich und du Gastro GmbH</t>
  </si>
  <si>
    <t>Huttwilstrasse 108</t>
  </si>
  <si>
    <t>CHE-102.102.405</t>
  </si>
  <si>
    <t>Baugenossenschaft Rohrbach</t>
  </si>
  <si>
    <t>c/o Andreas Jäggi</t>
  </si>
  <si>
    <t>CHE-115.115.230</t>
  </si>
  <si>
    <t>Gesundheit am Brunnenplatz GmbH</t>
  </si>
  <si>
    <t>Marktgasse 10</t>
  </si>
  <si>
    <t>Carle Aarwangen GmbH</t>
  </si>
  <si>
    <t>CHE-115.115.488</t>
  </si>
  <si>
    <t>Kronen Garage Ernst Scheidegger</t>
  </si>
  <si>
    <t>CHE-115.115.778</t>
  </si>
  <si>
    <t>Büetiger, Gipser- und Malerarbeiten</t>
  </si>
  <si>
    <t>CHE-115.115.052</t>
  </si>
  <si>
    <t>Werkstatt Bienenstock S. Engel</t>
  </si>
  <si>
    <t>CHE-115.115.416</t>
  </si>
  <si>
    <t>Saladin Bedachungen</t>
  </si>
  <si>
    <t>CHE-115.115.332</t>
  </si>
  <si>
    <t>kundengerecht.ch GmbH</t>
  </si>
  <si>
    <t>c/o Philippe Groux und Sandra Lambroia Groux</t>
  </si>
  <si>
    <t>Alpenstrasse 22</t>
  </si>
  <si>
    <t>CHE-114.114.552</t>
  </si>
  <si>
    <t>Eupico Schweiz Burda</t>
  </si>
  <si>
    <t>CHE-114.114.368</t>
  </si>
  <si>
    <t>Amfri GmbH</t>
  </si>
  <si>
    <t>Oberfeldweg 24</t>
  </si>
  <si>
    <t>CHE-102.102.030</t>
  </si>
  <si>
    <t>AS tax &amp; support GmbH</t>
  </si>
  <si>
    <t>CHE-114.114.250</t>
  </si>
  <si>
    <t>Gura Gips GmbH</t>
  </si>
  <si>
    <t>CHE-114.114.310</t>
  </si>
  <si>
    <t>Matek Transport GmbH</t>
  </si>
  <si>
    <t>Finkenweg 26</t>
  </si>
  <si>
    <t>CHE-114.114.527</t>
  </si>
  <si>
    <t>Adviaris GmbH</t>
  </si>
  <si>
    <t>CHE-109.109.407</t>
  </si>
  <si>
    <t>Früchte Sigrist GmbH</t>
  </si>
  <si>
    <t>Zelgweg 2</t>
  </si>
  <si>
    <t>G472100</t>
  </si>
  <si>
    <t>Detailhandel mit Obst, Gemüse und Kartoffeln</t>
  </si>
  <si>
    <t>CHE-114.114.784</t>
  </si>
  <si>
    <t>Schneider Beratungen</t>
  </si>
  <si>
    <t>Haueten 71</t>
  </si>
  <si>
    <t>CHE-220.220.707</t>
  </si>
  <si>
    <t>Multi Handling AG</t>
  </si>
  <si>
    <t>CHE-487.487.551</t>
  </si>
  <si>
    <t>Dorfbeizli D. Gerber</t>
  </si>
  <si>
    <t>CHE-114.114.641</t>
  </si>
  <si>
    <t>Restaurant Venus GmbH</t>
  </si>
  <si>
    <t>CHE-114.114.461</t>
  </si>
  <si>
    <t>Erni &amp; Partner Gmbh</t>
  </si>
  <si>
    <t>CHE-114.114.878</t>
  </si>
  <si>
    <t>SINGER Transporte</t>
  </si>
  <si>
    <t>CHE-114.114.326</t>
  </si>
  <si>
    <t>Käsermann Allround GmbH</t>
  </si>
  <si>
    <t>Friedhofstrasse 4</t>
  </si>
  <si>
    <t>CHE-114.114.719</t>
  </si>
  <si>
    <t>Eclipse Real Estate AG</t>
  </si>
  <si>
    <t>CHE-114.114.081</t>
  </si>
  <si>
    <t>Phil's Targed Tuning GmbH</t>
  </si>
  <si>
    <t>CHE-114.114.959</t>
  </si>
  <si>
    <t>Gartenprofis Wojacek GmbH</t>
  </si>
  <si>
    <t>Dennliweg 31</t>
  </si>
  <si>
    <t>CHE-114.114.395</t>
  </si>
  <si>
    <t>Somar GmbH</t>
  </si>
  <si>
    <t>BestLight AG</t>
  </si>
  <si>
    <t>CHE-111.111.062</t>
  </si>
  <si>
    <t>Immobilien Development &amp; Consulting GmbH</t>
  </si>
  <si>
    <t>CHE-201.201.556</t>
  </si>
  <si>
    <t>NB Technologie GmbH</t>
  </si>
  <si>
    <t>c/o Haudenschild AG Niederbipp</t>
  </si>
  <si>
    <t>CHE-114.114.988</t>
  </si>
  <si>
    <t>haudenschild.ch holding ag</t>
  </si>
  <si>
    <t>CHE-114.114.971</t>
  </si>
  <si>
    <t>Haudenschild Immo AG</t>
  </si>
  <si>
    <t>CHE-114.114.492</t>
  </si>
  <si>
    <t>stagi.ch GmbH</t>
  </si>
  <si>
    <t>Städtli 12</t>
  </si>
  <si>
    <t>CHE-167.167.284</t>
  </si>
  <si>
    <t>DéNU DESIGN GmbH</t>
  </si>
  <si>
    <t>Geissbergweg 19</t>
  </si>
  <si>
    <t>CHE-114.114.441</t>
  </si>
  <si>
    <t>Benshen GmbH</t>
  </si>
  <si>
    <t>c/o Dropa Fries AG</t>
  </si>
  <si>
    <t>CHE-114.114.063</t>
  </si>
  <si>
    <t>Storotech GmbH</t>
  </si>
  <si>
    <t>Sägetweg 4</t>
  </si>
  <si>
    <t>CHE-114.114.655</t>
  </si>
  <si>
    <t>ASENTIS GMBH</t>
  </si>
  <si>
    <t>Lindenstrasse 4</t>
  </si>
  <si>
    <t>ZVG Zellstoff-Verarbeitung AG</t>
  </si>
  <si>
    <t>CHE-113.113.128</t>
  </si>
  <si>
    <t>BS Hauswartungen Beat Scheidegger</t>
  </si>
  <si>
    <t>Pfrundackerweg 8</t>
  </si>
  <si>
    <t>Metacod AG</t>
  </si>
  <si>
    <t>Industriering 5</t>
  </si>
  <si>
    <t>CHE-113.113.728</t>
  </si>
  <si>
    <t>Clever Trans GmbH</t>
  </si>
  <si>
    <t>Finkenweg 5</t>
  </si>
  <si>
    <t>CHE-113.113.550</t>
  </si>
  <si>
    <t>Hotel Restaurant Alpenblick GmbH</t>
  </si>
  <si>
    <t>Schürchenstrasse 1</t>
  </si>
  <si>
    <t>CHE-113.113.853</t>
  </si>
  <si>
    <t>Rippl Spiele</t>
  </si>
  <si>
    <t>Höhe 51</t>
  </si>
  <si>
    <t>CHE-113.113.909</t>
  </si>
  <si>
    <t>Guido Buri GmbH</t>
  </si>
  <si>
    <t>Schulackerweg 1</t>
  </si>
  <si>
    <t>CHE-113.113.507</t>
  </si>
  <si>
    <t>Xellent-Stiftung</t>
  </si>
  <si>
    <t>c/o Dr. Maja Item Affentranger</t>
  </si>
  <si>
    <t>huber-service.net GmbH</t>
  </si>
  <si>
    <t>Bahnhofstrasse 27</t>
  </si>
  <si>
    <t>CHE-113.113.779</t>
  </si>
  <si>
    <t>SL Motorbike GmbH</t>
  </si>
  <si>
    <t>CHE-113.113.527</t>
  </si>
  <si>
    <t>Immo Lüthi AG</t>
  </si>
  <si>
    <t>c/o Lüthi AG, Bauunternehmung Madiswil</t>
  </si>
  <si>
    <t>CHE-113.113.611</t>
  </si>
  <si>
    <t>contevis gmbh</t>
  </si>
  <si>
    <t>Feldstrasse 5a</t>
  </si>
  <si>
    <t>CHE-113.113.095</t>
  </si>
  <si>
    <t>LAMETRAC AG</t>
  </si>
  <si>
    <t>Steingasse 27</t>
  </si>
  <si>
    <t>CHE-113.113.256</t>
  </si>
  <si>
    <t>Auto Hirsbrunner GmbH</t>
  </si>
  <si>
    <t>Zürichstrasse 21</t>
  </si>
  <si>
    <t>CHE-113.113.235</t>
  </si>
  <si>
    <t>Farmservice, Hsj. Wälchli</t>
  </si>
  <si>
    <t>Neuweid 57</t>
  </si>
  <si>
    <t>CHE-113.113.679</t>
  </si>
  <si>
    <t>MAKE-UP and MORE, Alexandra Patete</t>
  </si>
  <si>
    <t>Oenzbergstrasse 14 a</t>
  </si>
  <si>
    <t>CHE-115.115.380</t>
  </si>
  <si>
    <t>Carola Immobilien AG</t>
  </si>
  <si>
    <t>CHE-116.116.811</t>
  </si>
  <si>
    <t>SNB Baumanagement GmbH</t>
  </si>
  <si>
    <t>CHE-115.115.874</t>
  </si>
  <si>
    <t>RIMMOBIE AG</t>
  </si>
  <si>
    <t>CHE-334.334.745</t>
  </si>
  <si>
    <t>indigo invest ag</t>
  </si>
  <si>
    <t>CHE-112.112.337</t>
  </si>
  <si>
    <t>Laszlo Csako GmbH</t>
  </si>
  <si>
    <t>Eisenbahnstrasse 14</t>
  </si>
  <si>
    <t>CHE-289.289.452</t>
  </si>
  <si>
    <t>Kellertreff Inh. Doris Schmied</t>
  </si>
  <si>
    <t>CHE-263.263.921</t>
  </si>
  <si>
    <t>Chelona GmbH</t>
  </si>
  <si>
    <t>Dammweg 41</t>
  </si>
  <si>
    <t>CHE-113.113.141</t>
  </si>
  <si>
    <t>ABC Parkett und Teppichmarkt AG</t>
  </si>
  <si>
    <t>CHE-113.113.957</t>
  </si>
  <si>
    <t>Hans Huber Nachfolger Dominic Minder</t>
  </si>
  <si>
    <t>Moosstrasse 13a</t>
  </si>
  <si>
    <t>CHE-113.113.088</t>
  </si>
  <si>
    <t>TST Türautomatik GmbH</t>
  </si>
  <si>
    <t>CHE-113.113.694</t>
  </si>
  <si>
    <t>Geissbühler Schmuck GmbH</t>
  </si>
  <si>
    <t>CHE-113.113.956</t>
  </si>
  <si>
    <t>MCL Demontagen GmbH</t>
  </si>
  <si>
    <t>Feldstrasse 2</t>
  </si>
  <si>
    <t>CHE-113.113.784</t>
  </si>
  <si>
    <t>holzhandwerk partime gmbh</t>
  </si>
  <si>
    <t>Alter Stalden 5</t>
  </si>
  <si>
    <t>CHE-113.113.267</t>
  </si>
  <si>
    <t>Jörg GmbH Bedachungen + Fassaden</t>
  </si>
  <si>
    <t>Krautgasse 17</t>
  </si>
  <si>
    <t>CHE-112.112.642</t>
  </si>
  <si>
    <t>Hönger AG</t>
  </si>
  <si>
    <t>St. Urbanstrasse 4</t>
  </si>
  <si>
    <t>CHE-112.112.481</t>
  </si>
  <si>
    <t>Flora Vermarktungs und Immo AG</t>
  </si>
  <si>
    <t>CHE-112.112.529</t>
  </si>
  <si>
    <t>ivanmeyertours GmbH</t>
  </si>
  <si>
    <t>Vorstadt 19</t>
  </si>
  <si>
    <t>CHE-112.112.662</t>
  </si>
  <si>
    <t>planundwerk gmbh</t>
  </si>
  <si>
    <t>Bürki Haustechnik AG</t>
  </si>
  <si>
    <t>c/o Bürki Haustechnik AG</t>
  </si>
  <si>
    <t>Dennliweg 25</t>
  </si>
  <si>
    <t>CHE-112.112.063</t>
  </si>
  <si>
    <t>Im Zelgli, Wohnen im Alter, Genossenschaft</t>
  </si>
  <si>
    <t>CHE-112.112.221</t>
  </si>
  <si>
    <t>Alpine Western Horses AG</t>
  </si>
  <si>
    <t>Madiswilstrasse 51</t>
  </si>
  <si>
    <t>CHE-112.112.833</t>
  </si>
  <si>
    <t>Minnotex GmbH</t>
  </si>
  <si>
    <t>CHE-112.112.819</t>
  </si>
  <si>
    <t>Trösch Ulrich</t>
  </si>
  <si>
    <t>Meisenweg 15</t>
  </si>
  <si>
    <t>CHE-112.112.612</t>
  </si>
  <si>
    <t>Käserei Gondiswil, Thomas Thierstein</t>
  </si>
  <si>
    <t>Dorf 40</t>
  </si>
  <si>
    <t>CHE-112.112.108</t>
  </si>
  <si>
    <t>Createch Holding AG</t>
  </si>
  <si>
    <t>CHE-112.112.925</t>
  </si>
  <si>
    <t>BaltArt GmbH Switzerland</t>
  </si>
  <si>
    <t>Gaswerkstrasse 66 A</t>
  </si>
  <si>
    <t>CHE-112.112.442</t>
  </si>
  <si>
    <t>sehruum11, Gestaltungsatelier Philipp Abt</t>
  </si>
  <si>
    <t>CHE-112.112.207</t>
  </si>
  <si>
    <t>MB Beteiligungs AG</t>
  </si>
  <si>
    <t>c/o Fritz Born AG</t>
  </si>
  <si>
    <t>Gaswerkstrasse 58</t>
  </si>
  <si>
    <t>CHE-112.112.279</t>
  </si>
  <si>
    <t>Motax GmbH</t>
  </si>
  <si>
    <t>CHE-112.112.393</t>
  </si>
  <si>
    <t>Huttu Online Zurfluh</t>
  </si>
  <si>
    <t>CHE-110.110.393</t>
  </si>
  <si>
    <t>Geschwister-Gugelmann-Stiftung</t>
  </si>
  <si>
    <t>CHE-112.112.888</t>
  </si>
  <si>
    <t>Sozialprojekt Niko Derendinger</t>
  </si>
  <si>
    <t>Häbernbadweg 54</t>
  </si>
  <si>
    <t>CHE-112.112.017</t>
  </si>
  <si>
    <t>Auto-Center Flückiger Holding AG</t>
  </si>
  <si>
    <t>c/o Auto-Center H.R. Flückiger AG</t>
  </si>
  <si>
    <t>CHE-112.112.604</t>
  </si>
  <si>
    <t>max fit &amp; well AG</t>
  </si>
  <si>
    <t>traktiv GmbH</t>
  </si>
  <si>
    <t>Bahnweg 4</t>
  </si>
  <si>
    <t>CHE-112.112.373</t>
  </si>
  <si>
    <t>Vagator GmbH</t>
  </si>
  <si>
    <t>CHE-112.112.046</t>
  </si>
  <si>
    <t>FME AG</t>
  </si>
  <si>
    <t>CHE-111.111.173</t>
  </si>
  <si>
    <t>Soom Consulting</t>
  </si>
  <si>
    <t>CHE-111.111.530</t>
  </si>
  <si>
    <t>KB Immobilien GmbH</t>
  </si>
  <si>
    <t>CHE-111.111.386</t>
  </si>
  <si>
    <t>INFOVITA GmbH</t>
  </si>
  <si>
    <t>CHE-111.111.589</t>
  </si>
  <si>
    <t>John Prince</t>
  </si>
  <si>
    <t>R900200</t>
  </si>
  <si>
    <t>Erbringung von Dienstleistungen für die darstellende Kunst</t>
  </si>
  <si>
    <t>CHE-110.110.137</t>
  </si>
  <si>
    <t>IndoStore.ch Senti</t>
  </si>
  <si>
    <t>Kanalweg 13</t>
  </si>
  <si>
    <t>Wangen</t>
  </si>
  <si>
    <t>CHE-110.110.079</t>
  </si>
  <si>
    <t>ARIVA GmbH</t>
  </si>
  <si>
    <t>Unterholz 1c</t>
  </si>
  <si>
    <t>CHE-110.110.328</t>
  </si>
  <si>
    <t>Conquest Trans GmbH</t>
  </si>
  <si>
    <t>CHE-110.110.379</t>
  </si>
  <si>
    <t>Huser AllWörker</t>
  </si>
  <si>
    <t>CHE-110.110.091</t>
  </si>
  <si>
    <t>REKA Vertriebs GmbH</t>
  </si>
  <si>
    <t>CHE-110.110.517</t>
  </si>
  <si>
    <t>Hubacher GmbH</t>
  </si>
  <si>
    <t>Bodengasse 6</t>
  </si>
  <si>
    <t>CHE-110.110.179</t>
  </si>
  <si>
    <t>Patronale Stiftung der Firma Friedrich Witschi AG</t>
  </si>
  <si>
    <t>CHE-110.110.552</t>
  </si>
  <si>
    <t>Megasol Solartechnik Genossenschaft</t>
  </si>
  <si>
    <t>Haldenweg 18</t>
  </si>
  <si>
    <t>CHE-110.110.084</t>
  </si>
  <si>
    <t>Aqua- und Pooltechnik, Geiser &amp; Cie.</t>
  </si>
  <si>
    <t>Greppenweg 17</t>
  </si>
  <si>
    <t>CHE-115.115.217</t>
  </si>
  <si>
    <t>Globaltrail Bruno Kneubühler</t>
  </si>
  <si>
    <t>Brüggenweid 88</t>
  </si>
  <si>
    <t>CHE-110.110.283</t>
  </si>
  <si>
    <t>Moser Walter</t>
  </si>
  <si>
    <t>Geissbergweg 20 B</t>
  </si>
  <si>
    <t>CHE-110.110.412</t>
  </si>
  <si>
    <t>Cubus Schreinerei für Gestaltung GmbH</t>
  </si>
  <si>
    <t>CHE-110.110.164</t>
  </si>
  <si>
    <t>alberag GmbH</t>
  </si>
  <si>
    <t>Drosselweg 8</t>
  </si>
  <si>
    <t>CHE-110.110.296</t>
  </si>
  <si>
    <t>MATEC system + technik GmbH</t>
  </si>
  <si>
    <t>ORFE GmbH</t>
  </si>
  <si>
    <t>Riviera Aktiengesellschaft Hans Gerber</t>
  </si>
  <si>
    <t>CHE-110.110.931</t>
  </si>
  <si>
    <t>Dennler Bau &amp; Holz</t>
  </si>
  <si>
    <t>Kirchgasse 12a</t>
  </si>
  <si>
    <t>Malergeschäft Meyer</t>
  </si>
  <si>
    <t>Anternstrasse 14</t>
  </si>
  <si>
    <t>CHE-109.109.075</t>
  </si>
  <si>
    <t>Stiftung Erich Schöni</t>
  </si>
  <si>
    <t>c/o Ruth Dora Schöni-Schärer</t>
  </si>
  <si>
    <t>Cholbettistrasse 32</t>
  </si>
  <si>
    <t>CHE-109.109.552</t>
  </si>
  <si>
    <t>FARM-MECH Godi Nyffenegger</t>
  </si>
  <si>
    <t>Brueggeweid 122</t>
  </si>
  <si>
    <t>CHE-109.109.924</t>
  </si>
  <si>
    <t>www.crespo.ch GmbH</t>
  </si>
  <si>
    <t>CHE-109.109.177</t>
  </si>
  <si>
    <t>VANCOR Services GmbH</t>
  </si>
  <si>
    <t>Poststrasse 32</t>
  </si>
  <si>
    <t>CHE-109.109.275</t>
  </si>
  <si>
    <t>Lantal Foundation for Cultural and Sustainable Education</t>
  </si>
  <si>
    <t>CHE-109.109.079</t>
  </si>
  <si>
    <t>APRO AG</t>
  </si>
  <si>
    <t>Schenkstrasse 4</t>
  </si>
  <si>
    <t>CHE-109.109.486</t>
  </si>
  <si>
    <t>Personalfürsorgestiftung der Firma Gugelmann &amp; Cie. AG</t>
  </si>
  <si>
    <t>CHE-109.109.786</t>
  </si>
  <si>
    <t>Wohlfahrtsstiftung der DUAP AG</t>
  </si>
  <si>
    <t>c/o DUAP AG</t>
  </si>
  <si>
    <t>CHE-109.109.623</t>
  </si>
  <si>
    <t>Personalfürsorgestiftung der Calag Carrosserie Langenthal AG</t>
  </si>
  <si>
    <t>CHE-109.109.984</t>
  </si>
  <si>
    <t>Stiftung Willy Baumann</t>
  </si>
  <si>
    <t>CHE-109.109.978</t>
  </si>
  <si>
    <t>Personalstiftung Création Baumann AG</t>
  </si>
  <si>
    <t>c/o Création Baumann AG</t>
  </si>
  <si>
    <t>CHE-109.109.484</t>
  </si>
  <si>
    <t>Aerni und Wälchli GmbH</t>
  </si>
  <si>
    <t>CHE-109.109.680</t>
  </si>
  <si>
    <t>Schäfer und Eberli GmbH</t>
  </si>
  <si>
    <t>CHE-109.109.501</t>
  </si>
  <si>
    <t>Stöckl + Eggimann Storen GmbH</t>
  </si>
  <si>
    <t>Häbernbadstrasse 29</t>
  </si>
  <si>
    <t>CHE-109.109.441</t>
  </si>
  <si>
    <t>Personalfürsorgestiftung der Firma Nencki AG</t>
  </si>
  <si>
    <t>VALTEC Toolsystems GmbH</t>
  </si>
  <si>
    <t>CHE-109.109.805</t>
  </si>
  <si>
    <t>Starbase AG</t>
  </si>
  <si>
    <t>CHE-109.109.628</t>
  </si>
  <si>
    <t>Garden Life AG</t>
  </si>
  <si>
    <t>CHE-109.109.903</t>
  </si>
  <si>
    <t>thg Treuhand GmbH</t>
  </si>
  <si>
    <t>CHE-109.109.656</t>
  </si>
  <si>
    <t>Gasthof zum weissen Rössli, Hanspeter Gerber</t>
  </si>
  <si>
    <t>Hauptstrasse 2</t>
  </si>
  <si>
    <t>CHE-109.109.647</t>
  </si>
  <si>
    <t>Modello GmbH</t>
  </si>
  <si>
    <t>Ibachstrasse 13 B</t>
  </si>
  <si>
    <t>CHE-109.109.700</t>
  </si>
  <si>
    <t>CHE-109.109.102</t>
  </si>
  <si>
    <t>RGL-Shop, R. Greub</t>
  </si>
  <si>
    <t>Häbernbadweg 58</t>
  </si>
  <si>
    <t>Varitronix (Switzerland) GmbH</t>
  </si>
  <si>
    <t>CHE-109.109.581</t>
  </si>
  <si>
    <t>BRMM Holding AG Langenthal</t>
  </si>
  <si>
    <t>Mauro Grossud</t>
  </si>
  <si>
    <t>CHE-109.109.881</t>
  </si>
  <si>
    <t>M. Neuenschwander AG</t>
  </si>
  <si>
    <t>Gaswerkstrasse 66 D</t>
  </si>
  <si>
    <t>CHE-109.109.448</t>
  </si>
  <si>
    <t>Att-Tec GmbH</t>
  </si>
  <si>
    <t>Eigenstrasse 35</t>
  </si>
  <si>
    <t>Aarwangenstrasse 57</t>
  </si>
  <si>
    <t>CHE-108.108.779</t>
  </si>
  <si>
    <t>Peter Kunz Bau und Finanz AG</t>
  </si>
  <si>
    <t>CHE-115.115.259</t>
  </si>
  <si>
    <t>planergie ag</t>
  </si>
  <si>
    <t>Boegli Wagatex Engineering AG</t>
  </si>
  <si>
    <t>C139600</t>
  </si>
  <si>
    <t>Herstellung von technischen Textilien</t>
  </si>
  <si>
    <t>CHE-108.108.959</t>
  </si>
  <si>
    <t>4ROCKS GmbH</t>
  </si>
  <si>
    <t>Sebilochweg 5</t>
  </si>
  <si>
    <t>Loosli Badmöbel AG</t>
  </si>
  <si>
    <t>CHE-108.108.260</t>
  </si>
  <si>
    <t>Elektro Werner GmbH</t>
  </si>
  <si>
    <t>Buchlistrasse 39</t>
  </si>
  <si>
    <t>Andres AG</t>
  </si>
  <si>
    <t>Mario Heiniger GmbH</t>
  </si>
  <si>
    <t>CHE-108.108.293</t>
  </si>
  <si>
    <t>Buchzeichen Buchhandlung GmbH</t>
  </si>
  <si>
    <t>G476300</t>
  </si>
  <si>
    <t>Detailhandel mit bespielten Ton- und Bildträgern</t>
  </si>
  <si>
    <t>HAMA Pack GmbH</t>
  </si>
  <si>
    <t>Käsereiweg 1</t>
  </si>
  <si>
    <t>CHE-108.108.287</t>
  </si>
  <si>
    <t>CHE-108.108.399</t>
  </si>
  <si>
    <t>Baubegleitung Peter Sägesser GmbH</t>
  </si>
  <si>
    <t>Meiniswilstrasse 14</t>
  </si>
  <si>
    <t>M + E Consulting, Heinz Bürki</t>
  </si>
  <si>
    <t>Stellimattweg 7</t>
  </si>
  <si>
    <t>Sport-Service, Burkhard Peter</t>
  </si>
  <si>
    <t>Laendtestrasse 11</t>
  </si>
  <si>
    <t>CHE-108.108.675</t>
  </si>
  <si>
    <t>Fitness-Center Langenthal AG</t>
  </si>
  <si>
    <t>c/o Ronald Horisberger</t>
  </si>
  <si>
    <t>Farbgasse 63</t>
  </si>
  <si>
    <t>CHE-108.108.174</t>
  </si>
  <si>
    <t>Schüpbach Rudolf, Elektrotechn. Apparate, Inhaber Rudolf Schüpbach</t>
  </si>
  <si>
    <t>Langenthalstrasse 13 a</t>
  </si>
  <si>
    <t>CHE-107.107.643</t>
  </si>
  <si>
    <t>Max Meyer AG</t>
  </si>
  <si>
    <t>CHE-107.107.488</t>
  </si>
  <si>
    <t>Thäler Immobilien AG</t>
  </si>
  <si>
    <t>CHE-107.107.253</t>
  </si>
  <si>
    <t>TV Studio Tanner</t>
  </si>
  <si>
    <t>Jürg Rodel, Ingenieurbüro für Elektronik</t>
  </si>
  <si>
    <t>Bahnhofstrasse 32</t>
  </si>
  <si>
    <t>CHE-113.113.430</t>
  </si>
  <si>
    <t>Autohilfe Bonani GmbH</t>
  </si>
  <si>
    <t>CHE-107.107.919</t>
  </si>
  <si>
    <t>Schiesskeller "Roggwil" AG</t>
  </si>
  <si>
    <t>Rainweg 12</t>
  </si>
  <si>
    <t>CHE-107.107.516</t>
  </si>
  <si>
    <t>CHE-107.107.188</t>
  </si>
  <si>
    <t>Malergeschäft Wälchli</t>
  </si>
  <si>
    <t>CHE-107.107.522</t>
  </si>
  <si>
    <t>Bildhaueratelier Krause</t>
  </si>
  <si>
    <t>Zielackerstrasse 2</t>
  </si>
  <si>
    <t>CHE-107.107.708</t>
  </si>
  <si>
    <t>Flückiger Holding AG</t>
  </si>
  <si>
    <t>CHE-107.107.336</t>
  </si>
  <si>
    <t>Studio UF Partner AG</t>
  </si>
  <si>
    <t>Getränkehandlung Schneeberger</t>
  </si>
  <si>
    <t>CHE-107.107.762</t>
  </si>
  <si>
    <t>Gebr. B. + C. Keller, Inhaber B. + E. Keller</t>
  </si>
  <si>
    <t>CHE-107.107.739</t>
  </si>
  <si>
    <t>LANZ TRANSPORT AG</t>
  </si>
  <si>
    <t>CHE-107.107.604</t>
  </si>
  <si>
    <t>Enz Holzbau GmbH</t>
  </si>
  <si>
    <t>Ruettistaldenstrasse 18</t>
  </si>
  <si>
    <t>CHE-107.107.610</t>
  </si>
  <si>
    <t>TIERARZTPRAXIS DR. MARTI AG</t>
  </si>
  <si>
    <t>CHE-107.107.082</t>
  </si>
  <si>
    <t>Fischer AG, Malergeschäft</t>
  </si>
  <si>
    <t>Rütistrasse 2</t>
  </si>
  <si>
    <t>CHE-107.107.970</t>
  </si>
  <si>
    <t>Grütter Bau AG</t>
  </si>
  <si>
    <t>CHE-107.107.763</t>
  </si>
  <si>
    <t>Elektro Gygax AG</t>
  </si>
  <si>
    <t>Bernstr. 7</t>
  </si>
  <si>
    <t>CHE-107.107.533</t>
  </si>
  <si>
    <t>Hans Arn AG</t>
  </si>
  <si>
    <t>Industrieweg 6</t>
  </si>
  <si>
    <t>CHE-107.107.510</t>
  </si>
  <si>
    <t>Stuber + Althaus AG</t>
  </si>
  <si>
    <t>Moos 21</t>
  </si>
  <si>
    <t>CHE-107.107.450</t>
  </si>
  <si>
    <t>Röhm Spanntechnik AG</t>
  </si>
  <si>
    <t>CHE-107.107.384</t>
  </si>
  <si>
    <t>Holu AG</t>
  </si>
  <si>
    <t>Industriestrasse 15</t>
  </si>
  <si>
    <t>CHE-107.107.378</t>
  </si>
  <si>
    <t>Elsässer AG</t>
  </si>
  <si>
    <t>CHE-107.107.355</t>
  </si>
  <si>
    <t>Heinz Lienhard AG</t>
  </si>
  <si>
    <t>Wangenstrasse 102</t>
  </si>
  <si>
    <t>CHE-107.107.349</t>
  </si>
  <si>
    <t>Primair AG</t>
  </si>
  <si>
    <t>Biblisweg 34</t>
  </si>
  <si>
    <t>CHE-107.107.295</t>
  </si>
  <si>
    <t>Lüthi Druck AG</t>
  </si>
  <si>
    <t>Bodackerweg 4</t>
  </si>
  <si>
    <t>CHE-107.107.272</t>
  </si>
  <si>
    <t>Brechbühl Zahnräder</t>
  </si>
  <si>
    <t>Walliswilstrasse 11</t>
  </si>
  <si>
    <t>CHE-107.107.059</t>
  </si>
  <si>
    <t>SUS AG</t>
  </si>
  <si>
    <t>Wagner AG</t>
  </si>
  <si>
    <t>Kleinfeldstrasse 6</t>
  </si>
  <si>
    <t>CHE-107.107.769</t>
  </si>
  <si>
    <t>Jäggi AG</t>
  </si>
  <si>
    <t>c/o LuWi Wangen GmbH</t>
  </si>
  <si>
    <t>CHE-107.107.203</t>
  </si>
  <si>
    <t>CHE-107.107.842</t>
  </si>
  <si>
    <t>Auto-Center AG Aarwangen</t>
  </si>
  <si>
    <t>CHE-107.107.218</t>
  </si>
  <si>
    <t>Thierstein AG Festwirtschafts-Vermietungen</t>
  </si>
  <si>
    <t>CHE-107.107.713</t>
  </si>
  <si>
    <t>Berg-Garage, Carrosserie, Daniel Affentranger</t>
  </si>
  <si>
    <t>Bergwaldweg 2</t>
  </si>
  <si>
    <t>Fussleistenmontage Bill</t>
  </si>
  <si>
    <t>Steggässli 1</t>
  </si>
  <si>
    <t>CHE-107.107.682</t>
  </si>
  <si>
    <t>Käsereigenossenschaft Ganzenberg</t>
  </si>
  <si>
    <t>c/o Reto Hirschi</t>
  </si>
  <si>
    <t>CHE-107.107.593</t>
  </si>
  <si>
    <t>Flür &amp; Dubian AG</t>
  </si>
  <si>
    <t>Einschlagweg 1</t>
  </si>
  <si>
    <t>Gebr. Steiner AG</t>
  </si>
  <si>
    <t>CHE-107.107.191</t>
  </si>
  <si>
    <t>Brand AG, Sägewerk, Ursenbach</t>
  </si>
  <si>
    <t>CHE-107.107.487</t>
  </si>
  <si>
    <t>Zuma AG</t>
  </si>
  <si>
    <t>Grunholzweid 173</t>
  </si>
  <si>
    <t>CHE-107.107.458</t>
  </si>
  <si>
    <t>Zulliger, Schreinerei + Holzbau AG</t>
  </si>
  <si>
    <t>CHE-107.107.381</t>
  </si>
  <si>
    <t>Nobs Hydraulik AG</t>
  </si>
  <si>
    <t>C331900</t>
  </si>
  <si>
    <t>Reparatur von sonstigen Ausrüstungen</t>
  </si>
  <si>
    <t>CHE-107.107.292</t>
  </si>
  <si>
    <t>AR Strahm AG</t>
  </si>
  <si>
    <t>CHE-107.107.234</t>
  </si>
  <si>
    <t>Kneubühler AG Madiswil</t>
  </si>
  <si>
    <t>CHE-107.107.482</t>
  </si>
  <si>
    <t>Land-Metzg Rickli AG</t>
  </si>
  <si>
    <t>Ey 3</t>
  </si>
  <si>
    <t>CHE-107.107.370</t>
  </si>
  <si>
    <t>Lüdi + Schär Schreinerei und Holzbau AG</t>
  </si>
  <si>
    <t>CHE-107.107.298</t>
  </si>
  <si>
    <t>Jufer AG</t>
  </si>
  <si>
    <t>Langenthalstrasse 86</t>
  </si>
  <si>
    <t>CHE-107.107.217</t>
  </si>
  <si>
    <t>Carrosserie Gygax AG</t>
  </si>
  <si>
    <t>CHE-207.207.722</t>
  </si>
  <si>
    <t>Wohnheim Pegasus GmbH</t>
  </si>
  <si>
    <t>Oberdorfstrasse 72</t>
  </si>
  <si>
    <t>CHE-204.204.485</t>
  </si>
  <si>
    <t>CHE-109.109.792</t>
  </si>
  <si>
    <t>Senioren-Pension Waldruhe GmbH</t>
  </si>
  <si>
    <t>Steinrainweg 5</t>
  </si>
  <si>
    <t>CHE-106.106.254</t>
  </si>
  <si>
    <t>Wagner Motos, Ulrich Wagner</t>
  </si>
  <si>
    <t>Grossmattstrasse 2</t>
  </si>
  <si>
    <t>Jürg Hasler AG</t>
  </si>
  <si>
    <t>CHE-106.106.990</t>
  </si>
  <si>
    <t>Annelies Metzger, TranceFormation</t>
  </si>
  <si>
    <t>Kuhgasse 17</t>
  </si>
  <si>
    <t>CHE-106.106.080</t>
  </si>
  <si>
    <t>Vauthey AG</t>
  </si>
  <si>
    <t>Unterstrasse 34</t>
  </si>
  <si>
    <t>CHE-106.106.448</t>
  </si>
  <si>
    <t>Weingartenweg AG</t>
  </si>
  <si>
    <t>CHE-106.106.259</t>
  </si>
  <si>
    <t>HOSTETTLER DENTAL AG</t>
  </si>
  <si>
    <t>Friedhofweg 24</t>
  </si>
  <si>
    <t>CHE-106.106.101</t>
  </si>
  <si>
    <t>VEMAG Computer AG</t>
  </si>
  <si>
    <t>Auto Ischi</t>
  </si>
  <si>
    <t>CHE-106.106.361</t>
  </si>
  <si>
    <t>FEST - Fenster + Storen AG</t>
  </si>
  <si>
    <t>Lotzwilstrasse 34</t>
  </si>
  <si>
    <t>CHE-106.106.812</t>
  </si>
  <si>
    <t>Heiner Meier-Berger, Compta Treuhand</t>
  </si>
  <si>
    <t>Läderach Lagersysteme AG</t>
  </si>
  <si>
    <t>Autorama AG</t>
  </si>
  <si>
    <t>Huttwilstrasse 58D</t>
  </si>
  <si>
    <t>CHE-106.106.497</t>
  </si>
  <si>
    <t>Johnsales AG</t>
  </si>
  <si>
    <t>CHE-106.106.451</t>
  </si>
  <si>
    <t>CHE-106.106.457</t>
  </si>
  <si>
    <t>Wasser's Lädeli</t>
  </si>
  <si>
    <t>Hintergasse 4</t>
  </si>
  <si>
    <t>CHE-106.106.568</t>
  </si>
  <si>
    <t>Herbert Schaub AG</t>
  </si>
  <si>
    <t>CHE-106.106.884</t>
  </si>
  <si>
    <t>Grogg AG Herzogenbuchsee</t>
  </si>
  <si>
    <t>Zubackerweg 5</t>
  </si>
  <si>
    <t>CHE-106.106.590</t>
  </si>
  <si>
    <t>Zeller Automatik AG</t>
  </si>
  <si>
    <t>CHE-105.105.382</t>
  </si>
  <si>
    <t>Graf Schreinerei AG Huttwil</t>
  </si>
  <si>
    <t>Oberdorfstrasse 14</t>
  </si>
  <si>
    <t>CHE-105.105.884</t>
  </si>
  <si>
    <t>Murgstrasse 4</t>
  </si>
  <si>
    <t>Zimmermann AG Immo Verwaltung</t>
  </si>
  <si>
    <t>CHE-105.105.261</t>
  </si>
  <si>
    <t>Frutiger Display AG</t>
  </si>
  <si>
    <t>Eichenweg 5</t>
  </si>
  <si>
    <t>CHE-105.105.230</t>
  </si>
  <si>
    <t>Blumenhalle Häusermann AG</t>
  </si>
  <si>
    <t>Blumenstrasse 3</t>
  </si>
  <si>
    <t>CHE-105.105.465</t>
  </si>
  <si>
    <t>Flückiger + Schärer GmbH</t>
  </si>
  <si>
    <t>Mösli 56 d</t>
  </si>
  <si>
    <t>CHE-105.105.665</t>
  </si>
  <si>
    <t>Garage Ryser AG</t>
  </si>
  <si>
    <t>CHE-105.105.375</t>
  </si>
  <si>
    <t>Elektro Scheidegger AG Ursenbach</t>
  </si>
  <si>
    <t>CHE-105.105.899</t>
  </si>
  <si>
    <t>K. Bühlmann GmbH</t>
  </si>
  <si>
    <t>Ländtestrasse 15</t>
  </si>
  <si>
    <t>CHE-105.105.071</t>
  </si>
  <si>
    <t>Lifestyle Holding AG</t>
  </si>
  <si>
    <t>Gaswerkstrasse 70 a</t>
  </si>
  <si>
    <t>CHE-105.105.190</t>
  </si>
  <si>
    <t>Ledermann GmbH Madiswil</t>
  </si>
  <si>
    <t>Steingasse 16</t>
  </si>
  <si>
    <t>CHE-105.105.417</t>
  </si>
  <si>
    <t>Terratex GmbH</t>
  </si>
  <si>
    <t>Bleienbachstrasse 55a</t>
  </si>
  <si>
    <t>CHE-105.105.761</t>
  </si>
  <si>
    <t>EB Marketing- + Vertriebs-Consulting GmbH</t>
  </si>
  <si>
    <t>CHE-105.105.575</t>
  </si>
  <si>
    <t>Architekturbüro Ledermann AG Langenthal</t>
  </si>
  <si>
    <t>CHE-105.105.361</t>
  </si>
  <si>
    <t>Erlacher Polster GmbH</t>
  </si>
  <si>
    <t>Chasseralstrasse 18</t>
  </si>
  <si>
    <t>CHE-105.105.068</t>
  </si>
  <si>
    <t>Marcel Jenzer</t>
  </si>
  <si>
    <t>Hertiackerstrasse 8</t>
  </si>
  <si>
    <t>CHE-104.104.446</t>
  </si>
  <si>
    <t>RIGE GmbH</t>
  </si>
  <si>
    <t>CHE-104.104.400</t>
  </si>
  <si>
    <t>AD Garage Landert GmbH</t>
  </si>
  <si>
    <t>Hinterer Ruetzelenweg 2a</t>
  </si>
  <si>
    <t>CHE-104.104.713</t>
  </si>
  <si>
    <t>Bono Architektur AG</t>
  </si>
  <si>
    <t>c/o Bono AG</t>
  </si>
  <si>
    <t>CHE-104.104.456</t>
  </si>
  <si>
    <t>Städtli 31</t>
  </si>
  <si>
    <t>CHE-104.104.510</t>
  </si>
  <si>
    <t>Aarsana AG</t>
  </si>
  <si>
    <t>CHE-104.104.033</t>
  </si>
  <si>
    <t>AM Auto Moto Occasion Kunz</t>
  </si>
  <si>
    <t>Hausmattstrasse 16</t>
  </si>
  <si>
    <t>CHE-104.104.702</t>
  </si>
  <si>
    <t>Dorfgarage Heiniger GmbH</t>
  </si>
  <si>
    <t>Mösli 300</t>
  </si>
  <si>
    <t>CHE-104.104.026</t>
  </si>
  <si>
    <t>Gipserei und Malerei W. Fuchs GmbH</t>
  </si>
  <si>
    <t>Bernstrasse 58</t>
  </si>
  <si>
    <t>CHE-104.104.558</t>
  </si>
  <si>
    <t>Christian Suter</t>
  </si>
  <si>
    <t>CHE-233.233.196</t>
  </si>
  <si>
    <t>KREUZ Herzogenbuchsee Holding AG</t>
  </si>
  <si>
    <t>CHE-104.104.000</t>
  </si>
  <si>
    <t>Active Gym 33 GmbH</t>
  </si>
  <si>
    <t>Gaswerkstr. 35</t>
  </si>
  <si>
    <t>CHE-104.104.212</t>
  </si>
  <si>
    <t>AWS AG</t>
  </si>
  <si>
    <t>CHE-104.104.827</t>
  </si>
  <si>
    <t>Felber Rohr- und Metallbau Carrosserie GmbH</t>
  </si>
  <si>
    <t>Gummenweg 1</t>
  </si>
  <si>
    <t>CHE-104.104.583</t>
  </si>
  <si>
    <t>T-CAD, M. Hlobil</t>
  </si>
  <si>
    <t>CHE-103.103.448</t>
  </si>
  <si>
    <t>Gurdwara Sri Guru Singh Sabha</t>
  </si>
  <si>
    <t>CHE-103.103.014</t>
  </si>
  <si>
    <t>HL Holzschnitzel AG Niederbipp</t>
  </si>
  <si>
    <t>Brühlmattenstrasse 12a</t>
  </si>
  <si>
    <t>CHE-103.103.803</t>
  </si>
  <si>
    <t>Personal Soft AG</t>
  </si>
  <si>
    <t>CHE-103.103.402</t>
  </si>
  <si>
    <t>Wohn- und Gewerbegenossenschaft Huttwil (WGH)</t>
  </si>
  <si>
    <t>CHE-103.103.679</t>
  </si>
  <si>
    <t>Lüdi Handels-AG Huttwil</t>
  </si>
  <si>
    <t>Walkestrasse 3 A</t>
  </si>
  <si>
    <t>CHE-103.103.025</t>
  </si>
  <si>
    <t>Sternwartefonds der Sekundarschule Langenthal</t>
  </si>
  <si>
    <t>c/o Präsidialamt Langenthal</t>
  </si>
  <si>
    <t>Frau J. Häubi, vormals M. Häubi</t>
  </si>
  <si>
    <t>Studweg 6</t>
  </si>
  <si>
    <t>CHE-103.103.181</t>
  </si>
  <si>
    <t>Greiner vibrograf AG</t>
  </si>
  <si>
    <t>CHE-103.103.476</t>
  </si>
  <si>
    <t>Asag Bilder- und Fotorahmen AG</t>
  </si>
  <si>
    <t>CHE-103.103.401</t>
  </si>
  <si>
    <t>Inter Polyhome, Pietro Fornara</t>
  </si>
  <si>
    <t>CHE-102.102.215</t>
  </si>
  <si>
    <t>Meyer Immobilien AG, Roggwil</t>
  </si>
  <si>
    <t>Nelkenweg 13</t>
  </si>
  <si>
    <t>CHE-103.103.850</t>
  </si>
  <si>
    <t>Käsereigenossenschaft im Weierhaus bei Huttwil</t>
  </si>
  <si>
    <t>c/o Daniel Fiechter</t>
  </si>
  <si>
    <t>Weierhaus 46</t>
  </si>
  <si>
    <t>CHE-103.103.805</t>
  </si>
  <si>
    <t>Milchgenossenschaft Heimigen</t>
  </si>
  <si>
    <t>c/o Fritz Wirth</t>
  </si>
  <si>
    <t>Heimigen 64A</t>
  </si>
  <si>
    <t>CHE-103.103.061</t>
  </si>
  <si>
    <t>Permarop AG</t>
  </si>
  <si>
    <t>Schuetzenstrasse 16</t>
  </si>
  <si>
    <t>CHE-477.477.817</t>
  </si>
  <si>
    <t>reist aemmepower GmbH</t>
  </si>
  <si>
    <t>Moselenweg 4</t>
  </si>
  <si>
    <t>CHE-103.103.380</t>
  </si>
  <si>
    <t>ULMÜ AG</t>
  </si>
  <si>
    <t>CHE-103.103.243</t>
  </si>
  <si>
    <t>Daniel Beyer DB Solutions</t>
  </si>
  <si>
    <t>Lotzwilstrasse 27</t>
  </si>
  <si>
    <t>CHE-103.103.018</t>
  </si>
  <si>
    <t>Univent AG</t>
  </si>
  <si>
    <t>c/o Urs Ryf-Iseli</t>
  </si>
  <si>
    <t>Halde 95</t>
  </si>
  <si>
    <t>CHE-102.102.309</t>
  </si>
  <si>
    <t>Stuker Reisemobile GmbH</t>
  </si>
  <si>
    <t>Dorfstrasse 39</t>
  </si>
  <si>
    <t>Baugeschäft Passucci</t>
  </si>
  <si>
    <t>CHE-102.102.321</t>
  </si>
  <si>
    <t>Joinpoint Informatik GmbH</t>
  </si>
  <si>
    <t>Blumenstrasse 14</t>
  </si>
  <si>
    <t>CHE-102.102.571</t>
  </si>
  <si>
    <t>Laronova AG</t>
  </si>
  <si>
    <t>RUMOLIA-Immobilien AG</t>
  </si>
  <si>
    <t>c/o Peter Schneider</t>
  </si>
  <si>
    <t>Lanzenbühlweg 20</t>
  </si>
  <si>
    <t>Stegemann AG</t>
  </si>
  <si>
    <t>Rosenweg 4</t>
  </si>
  <si>
    <t>CHE-102.102.469</t>
  </si>
  <si>
    <t>MEI AG</t>
  </si>
  <si>
    <t>CHE-102.102.330</t>
  </si>
  <si>
    <t>JäggiPagani AG</t>
  </si>
  <si>
    <t>Dennliweg 54</t>
  </si>
  <si>
    <t>CHE-102.102.127</t>
  </si>
  <si>
    <t>Hans Moser &amp; Co. AG</t>
  </si>
  <si>
    <t>CHE-102.102.217</t>
  </si>
  <si>
    <t>Alp-Genossenschaft Ahorn</t>
  </si>
  <si>
    <t>CHE-102.102.485</t>
  </si>
  <si>
    <t>Milchgenossenschaft Nyffel</t>
  </si>
  <si>
    <t>c/o Christian Bärtschi</t>
  </si>
  <si>
    <t>CHE-102.102.744</t>
  </si>
  <si>
    <t>Grunholz-Wässeracker-Genossenschaft</t>
  </si>
  <si>
    <t>c/o Gotthard Plüss</t>
  </si>
  <si>
    <t>CHE-102.102.218</t>
  </si>
  <si>
    <t>Milchgenossenschaft Rumisberg</t>
  </si>
  <si>
    <t>c/o Rudolf Anderegg</t>
  </si>
  <si>
    <t>Arispanweg 1</t>
  </si>
  <si>
    <t>Brunnengenossenschaft Bollodingen</t>
  </si>
  <si>
    <t>c/o Aebersold Hans</t>
  </si>
  <si>
    <t>Hegenstrasse 13</t>
  </si>
  <si>
    <t>CHE-102.102.926</t>
  </si>
  <si>
    <t>Corag Treuhand AG</t>
  </si>
  <si>
    <t>CHE-102.102.143</t>
  </si>
  <si>
    <t>Salzi AG</t>
  </si>
  <si>
    <t>CHE-102.102.845</t>
  </si>
  <si>
    <t>Bieler Metallbau AG</t>
  </si>
  <si>
    <t>CHE-102.102.961</t>
  </si>
  <si>
    <t>Skiliftgenossenschaft Walterswil</t>
  </si>
  <si>
    <t>Kiltbächli 98A</t>
  </si>
  <si>
    <t>H493903</t>
  </si>
  <si>
    <t>Personenbeförderung mittels Zahnrad-, Seilbahnen und Skiliften</t>
  </si>
  <si>
    <t>CHE-102.102.478</t>
  </si>
  <si>
    <t>Garage Meister AG</t>
  </si>
  <si>
    <t>Bernstrasse 10</t>
  </si>
  <si>
    <t>CHE-102.102.615</t>
  </si>
  <si>
    <t>Künzli Kraftwerk AG</t>
  </si>
  <si>
    <t>CHE-102.102.691</t>
  </si>
  <si>
    <t>Stiftung Lanz-Kohler</t>
  </si>
  <si>
    <t>Ingold Tools AG</t>
  </si>
  <si>
    <t>Hölzlistrasse 29</t>
  </si>
  <si>
    <t>CHE-101.101.849</t>
  </si>
  <si>
    <t>Milchgenossenschaft Thunstetten-Dorf</t>
  </si>
  <si>
    <t>c/o Christian Rentsch-Burkhalter</t>
  </si>
  <si>
    <t>Rank 157</t>
  </si>
  <si>
    <t>CHE-101.101.349</t>
  </si>
  <si>
    <t>CHE-101.101.649</t>
  </si>
  <si>
    <t>Idealbau Holding AG</t>
  </si>
  <si>
    <t>CHE-101.101.767</t>
  </si>
  <si>
    <t>MC-Electrade AG</t>
  </si>
  <si>
    <t>CHE-101.101.709</t>
  </si>
  <si>
    <t>Ingenieurbüro Lüthi AG</t>
  </si>
  <si>
    <t>CHE-101.101.013</t>
  </si>
  <si>
    <t>Bernhard Invest AG</t>
  </si>
  <si>
    <t>CHE-101.101.673</t>
  </si>
  <si>
    <t>Benseler Holding Schweiz AG</t>
  </si>
  <si>
    <t>Helene Meier</t>
  </si>
  <si>
    <t>CHE-101.101.988</t>
  </si>
  <si>
    <t>Gränicher Beteiligungs AG</t>
  </si>
  <si>
    <t>Rüttistaldenstr. 20</t>
  </si>
  <si>
    <t>Hotland Party, Schmidiger</t>
  </si>
  <si>
    <t>Belchenstrasse 28</t>
  </si>
  <si>
    <t>CHE-101.101.771</t>
  </si>
  <si>
    <t>Bodacher AG</t>
  </si>
  <si>
    <t>CHE-100.100.056</t>
  </si>
  <si>
    <t>Eberle + Rickli</t>
  </si>
  <si>
    <t>CHE-100.100.827</t>
  </si>
  <si>
    <t>René Liechti</t>
  </si>
  <si>
    <t>Klebenstrasse 45</t>
  </si>
  <si>
    <t>CHE-100.100.155</t>
  </si>
  <si>
    <t>Gsteigweg 1</t>
  </si>
  <si>
    <t>CHE-100.100.313</t>
  </si>
  <si>
    <t>Alpgenossenschaft Vordere Schmiedenmatt</t>
  </si>
  <si>
    <t>c/o Martin Eggimann</t>
  </si>
  <si>
    <t>CHE-100.100.616</t>
  </si>
  <si>
    <t>Brühwiler Elektrohaushalt mit Pfiff</t>
  </si>
  <si>
    <t>Cholbettistrasse 18</t>
  </si>
  <si>
    <t>CHE-100.100.027</t>
  </si>
  <si>
    <t>fra 62 GmbH</t>
  </si>
  <si>
    <t>CHE-100.100.188</t>
  </si>
  <si>
    <t>Fritz Zürcher</t>
  </si>
  <si>
    <t>Eriswilstr. 48b</t>
  </si>
  <si>
    <t>CHE-100.100.643</t>
  </si>
  <si>
    <t>Museum Langenthal</t>
  </si>
  <si>
    <t>Bahnhofstrasse 11</t>
  </si>
  <si>
    <t>CHE-100.100.388</t>
  </si>
  <si>
    <t>Stiftung Ferienheim Huttwil</t>
  </si>
  <si>
    <t>c/o Urs Flückiger</t>
  </si>
  <si>
    <t>Hübeliwaldweg 11</t>
  </si>
  <si>
    <t>CHE-100.100.518</t>
  </si>
  <si>
    <t>Kangarootec, Greub Alexander</t>
  </si>
  <si>
    <t>CHE-106.106.783</t>
  </si>
  <si>
    <t>Hesab AG</t>
  </si>
  <si>
    <t>Dennliweg 35C</t>
  </si>
  <si>
    <t>CHE-109.109.629</t>
  </si>
  <si>
    <t>Fankhauser &amp; Partner AG</t>
  </si>
  <si>
    <t>CHE-108.108.946</t>
  </si>
  <si>
    <t>indigo immobilien ag</t>
  </si>
  <si>
    <t>CHE-110.110.356</t>
  </si>
  <si>
    <t>Immoring GmbH</t>
  </si>
  <si>
    <t>CHE-112.112.342</t>
  </si>
  <si>
    <t>CHE-114.114.515</t>
  </si>
  <si>
    <t>Raritäten zum Holzofen GmbH</t>
  </si>
  <si>
    <t>Hubel 58</t>
  </si>
  <si>
    <t>CHE-104.104.463</t>
  </si>
  <si>
    <t>Krankenpflegestiftung Obersteckholz</t>
  </si>
  <si>
    <t>CHE-114.114.115</t>
  </si>
  <si>
    <t>MS-Mechanik GmbH</t>
  </si>
  <si>
    <t>Habcherig 11</t>
  </si>
  <si>
    <t>CHE-207.207.568</t>
  </si>
  <si>
    <t>hmconcret GmbH</t>
  </si>
  <si>
    <t>Schorenstrasse 18</t>
  </si>
  <si>
    <t>CHE-112.112.452</t>
  </si>
  <si>
    <t>Grevag AG</t>
  </si>
  <si>
    <t>CHE-105.105.128</t>
  </si>
  <si>
    <t>CHE-100.100.942</t>
  </si>
  <si>
    <t>Grevag Immobilien AG</t>
  </si>
  <si>
    <t>CHE-462.462.101</t>
  </si>
  <si>
    <t>MedTec Holding AG</t>
  </si>
  <si>
    <t>CHE-108.108.224</t>
  </si>
  <si>
    <t>RYNO ENERGY AG</t>
  </si>
  <si>
    <t>B061000</t>
  </si>
  <si>
    <t>Gewinnung von Erdöl</t>
  </si>
  <si>
    <t>CHE-108.108.910</t>
  </si>
  <si>
    <t>Frutiger Tiefbau und Transport GmbH</t>
  </si>
  <si>
    <t>CHE-176.176.488</t>
  </si>
  <si>
    <t>GH-Leimatt AG</t>
  </si>
  <si>
    <t>c/o Altersheim Leimatt AG</t>
  </si>
  <si>
    <t>CHE-287.287.152</t>
  </si>
  <si>
    <t>7drive GmbH</t>
  </si>
  <si>
    <t>Stiftung Burgruine Grünenberg, Melchnau</t>
  </si>
  <si>
    <t>c/o Andreas Morgenthaler</t>
  </si>
  <si>
    <t>Baumgartenstrasse 50</t>
  </si>
  <si>
    <t>CHE-344.344.552</t>
  </si>
  <si>
    <t>CHE-184.184.075</t>
  </si>
  <si>
    <t>Lemag Treuhand+Partner AG, Zweigniederlassung Wynau</t>
  </si>
  <si>
    <t>Untere Einschlagstrasse 5</t>
  </si>
  <si>
    <t>CHE-350.350.488</t>
  </si>
  <si>
    <t>UP AG</t>
  </si>
  <si>
    <t>Baselstrasse 28</t>
  </si>
  <si>
    <t>CHE-419.419.968</t>
  </si>
  <si>
    <t>createam coiffure haas GmbH</t>
  </si>
  <si>
    <t>Langenthalstrasse 11</t>
  </si>
  <si>
    <t>CHE-447.447.507</t>
  </si>
  <si>
    <t>OsteoWerk Annabel Looser</t>
  </si>
  <si>
    <t>CHE-370.370.184</t>
  </si>
  <si>
    <t>Giacometti Immobilientreuhand</t>
  </si>
  <si>
    <t>Nelkenweg 6</t>
  </si>
  <si>
    <t>CHE-485.485.660</t>
  </si>
  <si>
    <t>Rau Immobilien</t>
  </si>
  <si>
    <t>CHE-418.418.143</t>
  </si>
  <si>
    <t>Wangenstrasse 9</t>
  </si>
  <si>
    <t>CHE-213.213.690</t>
  </si>
  <si>
    <t>Hundeschule Barry und Hundepension, Inhaberin Barbara Ryser</t>
  </si>
  <si>
    <t>Wydenweg 1</t>
  </si>
  <si>
    <t>A011100</t>
  </si>
  <si>
    <t>Anbau von Getreide (ohne Reis), Hülsenfrüchten und Ölsaaten</t>
  </si>
  <si>
    <t>CHE-141.141.878</t>
  </si>
  <si>
    <t>MF Treuhand GmbH</t>
  </si>
  <si>
    <t>Gehrengasse 26</t>
  </si>
  <si>
    <t>CHE-102.102.819</t>
  </si>
  <si>
    <t>Altersheimverein Melchnau</t>
  </si>
  <si>
    <t>Stämpfligasse 11</t>
  </si>
  <si>
    <t>CHE-372.372.222</t>
  </si>
  <si>
    <t>Pfister Consulting</t>
  </si>
  <si>
    <t>Rainweg 13</t>
  </si>
  <si>
    <t>CHE-387.387.050</t>
  </si>
  <si>
    <t>Holzbau Riesen AG Grasswil</t>
  </si>
  <si>
    <t>Eggen 20</t>
  </si>
  <si>
    <t>CHE-401.401.384</t>
  </si>
  <si>
    <t>Lichtspirale GmbH</t>
  </si>
  <si>
    <t>Kuhgasse 18</t>
  </si>
  <si>
    <t>CHE-304.304.461</t>
  </si>
  <si>
    <t>LA PAZ COFFEE Inh. Engel</t>
  </si>
  <si>
    <t>Steinackerweg 15</t>
  </si>
  <si>
    <t>CHE-239.239.027</t>
  </si>
  <si>
    <t>Frey Tuning Garage</t>
  </si>
  <si>
    <t>CHE-150.150.780</t>
  </si>
  <si>
    <t>Kämpfer Holding AG</t>
  </si>
  <si>
    <t>CHE-471.471.970</t>
  </si>
  <si>
    <t>fotoblitz.ch AG</t>
  </si>
  <si>
    <t>CHE-293.293.616</t>
  </si>
  <si>
    <t>kaesespycher GmbH</t>
  </si>
  <si>
    <t>Kirchgasse 14</t>
  </si>
  <si>
    <t>CHE-491.491.225</t>
  </si>
  <si>
    <t>Bürki Haustechnik AG, Zweigniederlassung Niederbipp</t>
  </si>
  <si>
    <t>CHE-366.366.558</t>
  </si>
  <si>
    <t>hugentobler-beratungen GmbH</t>
  </si>
  <si>
    <t>c/o Robert und Sabine Hugentobler</t>
  </si>
  <si>
    <t>Zeieweg 15</t>
  </si>
  <si>
    <t>CHE-468.468.555</t>
  </si>
  <si>
    <t>Hautarzt Oberaargau AG</t>
  </si>
  <si>
    <t>Fabrikstrasse 10</t>
  </si>
  <si>
    <t>CHE-145.145.958</t>
  </si>
  <si>
    <t>Schneckenparadies KLG</t>
  </si>
  <si>
    <t>Bahnhofallee 8</t>
  </si>
  <si>
    <t>CHE-294.294.359</t>
  </si>
  <si>
    <t>Liebgewollt Esther Wyss</t>
  </si>
  <si>
    <t>CHE-383.383.913</t>
  </si>
  <si>
    <t>Blumen Tschan</t>
  </si>
  <si>
    <t>CHE-278.278.101</t>
  </si>
  <si>
    <t>Haller Gartenunterhalt</t>
  </si>
  <si>
    <t>Brennofenstrasse 50</t>
  </si>
  <si>
    <t>CHE-156.156.295</t>
  </si>
  <si>
    <t>Confiserie Christen</t>
  </si>
  <si>
    <t>CHE-474.474.199</t>
  </si>
  <si>
    <t>Oberhardstrasse 20a</t>
  </si>
  <si>
    <t>CHE-435.435.327</t>
  </si>
  <si>
    <t>firsthelp Straubhaar</t>
  </si>
  <si>
    <t>CHE-394.394.225</t>
  </si>
  <si>
    <t>Tier-Art Birrer</t>
  </si>
  <si>
    <t>CHE-382.382.205</t>
  </si>
  <si>
    <t>Kreuzhof Bar, Selma Wyttenbach</t>
  </si>
  <si>
    <t>CHE-258.258.250</t>
  </si>
  <si>
    <t>Byron AG</t>
  </si>
  <si>
    <t>CHE-457.457.606</t>
  </si>
  <si>
    <t>Surprise Band GmbH</t>
  </si>
  <si>
    <t>Unterer Bündtenackerweg 7c</t>
  </si>
  <si>
    <t>CHE-386.386.263</t>
  </si>
  <si>
    <t>Affentranger Bau AG</t>
  </si>
  <si>
    <t>Obere Dürrmühlestrasse 30</t>
  </si>
  <si>
    <t>CHE-484.484.656</t>
  </si>
  <si>
    <t>MiniKita Langenthal AG</t>
  </si>
  <si>
    <t>CHE-440.440.468</t>
  </si>
  <si>
    <t>Karahan Handel</t>
  </si>
  <si>
    <t>Bernstrasse 48</t>
  </si>
  <si>
    <t>CHE-496.496.704</t>
  </si>
  <si>
    <t>FL Group AG</t>
  </si>
  <si>
    <t>c/o FL Baumeisterhaus AG</t>
  </si>
  <si>
    <t>CHE-497.497.134</t>
  </si>
  <si>
    <t>Baumberger Holding AG</t>
  </si>
  <si>
    <t>CHE-213.213.598</t>
  </si>
  <si>
    <t>chiro4you gmbh</t>
  </si>
  <si>
    <t>c/o Dr. Beat und Esther Stoller</t>
  </si>
  <si>
    <t>Jägerweg 10</t>
  </si>
  <si>
    <t>CHE-325.325.804</t>
  </si>
  <si>
    <t>Max Lucchini Fischereiartikel</t>
  </si>
  <si>
    <t>Hüsligasse 9</t>
  </si>
  <si>
    <t>CHE-141.141.298</t>
  </si>
  <si>
    <t>Tekk GmbH</t>
  </si>
  <si>
    <t>CHE-384.384.970</t>
  </si>
  <si>
    <t>ALT-OPEL-GARAGE Marcel Morf</t>
  </si>
  <si>
    <t>Roetiweg 2</t>
  </si>
  <si>
    <t>CHE-360.360.234</t>
  </si>
  <si>
    <t>Bürgin Holzfachmann</t>
  </si>
  <si>
    <t>Dorfgasse 3</t>
  </si>
  <si>
    <t>CHE-435.435.086</t>
  </si>
  <si>
    <t>Darko Miljkovic Engineering</t>
  </si>
  <si>
    <t>CHE-463.463.113</t>
  </si>
  <si>
    <t>WohnZauber by ramona beyeler</t>
  </si>
  <si>
    <t>CHE-188.188.247</t>
  </si>
  <si>
    <t>Zälgweg 10</t>
  </si>
  <si>
    <t>CHE-494.494.836</t>
  </si>
  <si>
    <t>Heiniger &amp; Co. Gebäudetechnik</t>
  </si>
  <si>
    <t>Felsenburg 42</t>
  </si>
  <si>
    <t>CHE-493.493.783</t>
  </si>
  <si>
    <t>Blütencharme Susanne Nyffeler</t>
  </si>
  <si>
    <t>CHE-416.416.516</t>
  </si>
  <si>
    <t>N Dent AG</t>
  </si>
  <si>
    <t>Lagerstrasse 14</t>
  </si>
  <si>
    <t>CHE-401.401.521</t>
  </si>
  <si>
    <t>Klein- &amp; Motorgeräte Spichiger</t>
  </si>
  <si>
    <t>Eyhalde 18</t>
  </si>
  <si>
    <t>CHE-397.397.386</t>
  </si>
  <si>
    <t>Burkhalter ProTem GmbH</t>
  </si>
  <si>
    <t>Sternenstrasse 26</t>
  </si>
  <si>
    <t>CHE-392.392.676</t>
  </si>
  <si>
    <t>R. Roethlisberger AG</t>
  </si>
  <si>
    <t>Tavelweg 4</t>
  </si>
  <si>
    <t>CHE-328.328.562</t>
  </si>
  <si>
    <t>J.+J. Wassermann GmbH</t>
  </si>
  <si>
    <t>CHE-320.320.990</t>
  </si>
  <si>
    <t>Hubitech Daniel Hubacher</t>
  </si>
  <si>
    <t>Dürrenbühl 59</t>
  </si>
  <si>
    <t>CHE-308.308.475</t>
  </si>
  <si>
    <t>CHE-484.484.724</t>
  </si>
  <si>
    <t>Clavatax Steuerberatungs GmbH</t>
  </si>
  <si>
    <t>CHE-450.450.901</t>
  </si>
  <si>
    <t>Pédicure Siegenthaler Fusspflegestudio</t>
  </si>
  <si>
    <t>CHE-425.425.170</t>
  </si>
  <si>
    <t>GP Partner AG</t>
  </si>
  <si>
    <t>CHE-420.420.997</t>
  </si>
  <si>
    <t>Kopp Benjamin</t>
  </si>
  <si>
    <t>Bernerschachen 2</t>
  </si>
  <si>
    <t>CHE-317.317.096</t>
  </si>
  <si>
    <t>Vulaj Plattenbeläge</t>
  </si>
  <si>
    <t>Eriswilstrasse 9a</t>
  </si>
  <si>
    <t>CHE-393.393.016</t>
  </si>
  <si>
    <t>Schneider Caroline, säubergmacht.ch</t>
  </si>
  <si>
    <t>CHE-461.461.724</t>
  </si>
  <si>
    <t>akubu.ch GmbH</t>
  </si>
  <si>
    <t>Gaswerkstrasse 35</t>
  </si>
  <si>
    <t>CHE-364.364.334</t>
  </si>
  <si>
    <t>Roth ICT Consulting GmbH</t>
  </si>
  <si>
    <t>CHE-199.199.460</t>
  </si>
  <si>
    <t>Althaus Holding AG</t>
  </si>
  <si>
    <t>c/o W. Althaus AG</t>
  </si>
  <si>
    <t>CHE-343.343.900</t>
  </si>
  <si>
    <t>Hugi Beteiligungs GmbH</t>
  </si>
  <si>
    <t>c/o Bernhard Hugi Immobilien AG</t>
  </si>
  <si>
    <t>CHE-467.467.447</t>
  </si>
  <si>
    <t>VinaXa AG</t>
  </si>
  <si>
    <t>Wiesenstrasse 37</t>
  </si>
  <si>
    <t>CHE-331.331.867</t>
  </si>
  <si>
    <t>Jufer Landtechnik</t>
  </si>
  <si>
    <t>Blenggen 48</t>
  </si>
  <si>
    <t>CHE-379.379.954</t>
  </si>
  <si>
    <t>Provenance Elaine Valentin</t>
  </si>
  <si>
    <t>CHE-400.400.449</t>
  </si>
  <si>
    <t>gamarTec AG</t>
  </si>
  <si>
    <t>CHE-301.301.285</t>
  </si>
  <si>
    <t>Merdan Gastro GmbH</t>
  </si>
  <si>
    <t>Marktgasse 2</t>
  </si>
  <si>
    <t>CHE-489.489.175</t>
  </si>
  <si>
    <t>EBL Holding AG</t>
  </si>
  <si>
    <t>CHE-497.497.117</t>
  </si>
  <si>
    <t>BoardYs Jaggi</t>
  </si>
  <si>
    <t>Oenzgasse 15</t>
  </si>
  <si>
    <t>CHE-399.399.197</t>
  </si>
  <si>
    <t>Born Brunnhof GmbH</t>
  </si>
  <si>
    <t>Brunnhof 1</t>
  </si>
  <si>
    <t>CHE-327.327.719</t>
  </si>
  <si>
    <t>CHE-279.279.110</t>
  </si>
  <si>
    <t>Jegen Widmer Immobilien GmbH</t>
  </si>
  <si>
    <t>c/o Hesab AG</t>
  </si>
  <si>
    <t>CHE-226.226.961</t>
  </si>
  <si>
    <t>Sportgarage Autospritzwerk Florian Wälti</t>
  </si>
  <si>
    <t>Hertiacker 5</t>
  </si>
  <si>
    <t>CHE-177.177.794</t>
  </si>
  <si>
    <t>Bücherwelt Alavi</t>
  </si>
  <si>
    <t>Fritzenhofweg 7</t>
  </si>
  <si>
    <t>CHE-377.377.730</t>
  </si>
  <si>
    <t>Ehrsam Gartenbau AG</t>
  </si>
  <si>
    <t>Scharnagelnstrasse 3A</t>
  </si>
  <si>
    <t>CHE-433.433.668</t>
  </si>
  <si>
    <t>Sound + Light, Iwan Schwarz</t>
  </si>
  <si>
    <t>Kapellenweg 9</t>
  </si>
  <si>
    <t>CHE-288.288.858</t>
  </si>
  <si>
    <t>step-ara GmbH</t>
  </si>
  <si>
    <t>CHE-234.234.923</t>
  </si>
  <si>
    <t>ANEVA GmbH</t>
  </si>
  <si>
    <t>Aegertenstrasse 23</t>
  </si>
  <si>
    <t>Bläuenrainstrasse 7</t>
  </si>
  <si>
    <t>CHE-354.354.137</t>
  </si>
  <si>
    <t>BDM Invest GmbH</t>
  </si>
  <si>
    <t>CHE-148.148.950</t>
  </si>
  <si>
    <t>Pragmo IT GmbH</t>
  </si>
  <si>
    <t>CHE-295.295.715</t>
  </si>
  <si>
    <t>BF Management AG</t>
  </si>
  <si>
    <t>Murgenthalstrasse 148</t>
  </si>
  <si>
    <t>CHE-316.316.548</t>
  </si>
  <si>
    <t>Ivan Felber GmbH</t>
  </si>
  <si>
    <t>CHE-141.141.891</t>
  </si>
  <si>
    <t>Dr. med. Jürg Müller AG</t>
  </si>
  <si>
    <t>CHE-383.383.778</t>
  </si>
  <si>
    <t>May &amp; Eggimann Schreinerei GmbH</t>
  </si>
  <si>
    <t>Dürrenbühl 57e</t>
  </si>
  <si>
    <t>CHE-469.469.659</t>
  </si>
  <si>
    <t>Flückiger Gebäudetechnik AG</t>
  </si>
  <si>
    <t>CHE-456.456.906</t>
  </si>
  <si>
    <t>VeloFritz Jordi</t>
  </si>
  <si>
    <t>Schwarzenbach Dörfli 39</t>
  </si>
  <si>
    <t>CHE-494.494.431</t>
  </si>
  <si>
    <t>Has Immo GmbH</t>
  </si>
  <si>
    <t>Bettenhausenstrasse 17</t>
  </si>
  <si>
    <t>fatto a mano by Mel Inh. Nussbaum</t>
  </si>
  <si>
    <t>Eschenweg 3</t>
  </si>
  <si>
    <t>CHE-167.167.241</t>
  </si>
  <si>
    <t>Hausärztin Dr. med. Sylke Rupp GmbH</t>
  </si>
  <si>
    <t>Wangenstrasse 31</t>
  </si>
  <si>
    <t>CHE-160.160.449</t>
  </si>
  <si>
    <t>Bohner's BnB GmbH</t>
  </si>
  <si>
    <t>Baselstrasse 13</t>
  </si>
  <si>
    <t>CHE-384.384.043</t>
  </si>
  <si>
    <t>Kulgat Consulting</t>
  </si>
  <si>
    <t>CHE-426.426.213</t>
  </si>
  <si>
    <t>Lumen impetu Inh. Montoya Catano</t>
  </si>
  <si>
    <t>CHE-334.334.103</t>
  </si>
  <si>
    <t>CasiRikiCustoms KLG</t>
  </si>
  <si>
    <t>Sonnenweg 10</t>
  </si>
  <si>
    <t>CHE-314.314.137</t>
  </si>
  <si>
    <t>il fiore mm GmbH</t>
  </si>
  <si>
    <t>Hauptstrasse 13</t>
  </si>
  <si>
    <t>CHE-355.355.697</t>
  </si>
  <si>
    <t>Vasacs GmbH</t>
  </si>
  <si>
    <t>CHE-270.270.084</t>
  </si>
  <si>
    <t>Berchtold Kältetechnik GmbH</t>
  </si>
  <si>
    <t>Taubenrainweg 4</t>
  </si>
  <si>
    <t>CHE-256.256.347</t>
  </si>
  <si>
    <t>vr christen ag</t>
  </si>
  <si>
    <t>c/o Rudolf Christen</t>
  </si>
  <si>
    <t>Hauptstrasse 22d</t>
  </si>
  <si>
    <t>CHE-417.417.971</t>
  </si>
  <si>
    <t>MKNB GmbH</t>
  </si>
  <si>
    <t>CHE-319.319.702</t>
  </si>
  <si>
    <t>petcenter.ch holding AG</t>
  </si>
  <si>
    <t>CHE-297.297.313</t>
  </si>
  <si>
    <t>Lüthi's Klauenpflege GmbH</t>
  </si>
  <si>
    <t>Hof 62</t>
  </si>
  <si>
    <t>A016200</t>
  </si>
  <si>
    <t>Erbringung von landwirtschaftlichen Dienstleistungen für die Tierhaltung</t>
  </si>
  <si>
    <t>CHE-453.453.390</t>
  </si>
  <si>
    <t>Garage Murtezani</t>
  </si>
  <si>
    <t>Hubelweg 9</t>
  </si>
  <si>
    <t>CHE-219.219.992</t>
  </si>
  <si>
    <t>Commpas Communication GmbH</t>
  </si>
  <si>
    <t>CHE-265.265.901</t>
  </si>
  <si>
    <t>NOVUS INNOVATION AG</t>
  </si>
  <si>
    <t>CHE-489.489.278</t>
  </si>
  <si>
    <t>Schaad - Produkte</t>
  </si>
  <si>
    <t>Klebenstrasse 29</t>
  </si>
  <si>
    <t>CHE-107.107.854</t>
  </si>
  <si>
    <t>JED Jenni Deckensysteme</t>
  </si>
  <si>
    <t>CHE-431.431.718</t>
  </si>
  <si>
    <t>LeNoYa GmbH</t>
  </si>
  <si>
    <t>CHE-130.130.053</t>
  </si>
  <si>
    <t>H&amp;R Invest AG</t>
  </si>
  <si>
    <t>CHE-193.193.888</t>
  </si>
  <si>
    <t>FNX Immobilien AG</t>
  </si>
  <si>
    <t>CHE-168.168.985</t>
  </si>
  <si>
    <t>Maleski Multimedia</t>
  </si>
  <si>
    <t>Dammweg 2</t>
  </si>
  <si>
    <t>C264000</t>
  </si>
  <si>
    <t>Herstellung von Geräten der Unterhaltungselektronik</t>
  </si>
  <si>
    <t>CHE-159.159.235</t>
  </si>
  <si>
    <t>Montagen Sepp Müller GmbH</t>
  </si>
  <si>
    <t>Schützenweg 6</t>
  </si>
  <si>
    <t>CHE-399.399.639</t>
  </si>
  <si>
    <t>Darkhaus GmbH</t>
  </si>
  <si>
    <t>c/o Jenny Lorena Leuenberger</t>
  </si>
  <si>
    <t>CHE-225.225.784</t>
  </si>
  <si>
    <t>Schreinerei Adrian Egger GmbH</t>
  </si>
  <si>
    <t>CHE-172.172.247</t>
  </si>
  <si>
    <t>Born Architektur GmbH</t>
  </si>
  <si>
    <t>Marktgasse 8</t>
  </si>
  <si>
    <t>CHE-238.238.600</t>
  </si>
  <si>
    <t>Rajahs Cars Inh. Selvarajah</t>
  </si>
  <si>
    <t>Buechholzweg 8</t>
  </si>
  <si>
    <t>CHE-401.401.518</t>
  </si>
  <si>
    <t>El Kurdi Services</t>
  </si>
  <si>
    <t>CHE-282.282.435</t>
  </si>
  <si>
    <t>Siegrist's Welt</t>
  </si>
  <si>
    <t>CHE-212.212.883</t>
  </si>
  <si>
    <t>Seeberg Garage AG</t>
  </si>
  <si>
    <t>CHE-327.327.455</t>
  </si>
  <si>
    <t>C254000</t>
  </si>
  <si>
    <t>Herstellung von Waffen und Munition</t>
  </si>
  <si>
    <t>CHE-356.356.026</t>
  </si>
  <si>
    <t>Flatterie, Karten &amp; Papier, Jeannette Abt</t>
  </si>
  <si>
    <t>CHE-478.478.326</t>
  </si>
  <si>
    <t>Eco Garage Rexhaj</t>
  </si>
  <si>
    <t>CHE-250.250.331</t>
  </si>
  <si>
    <t>Landolt Group AG</t>
  </si>
  <si>
    <t>c/o Landolt Kanalunterhalt AG</t>
  </si>
  <si>
    <t>CHE-199.199.177</t>
  </si>
  <si>
    <t>Physiotherapie Sascha Veil</t>
  </si>
  <si>
    <t>CHE-148.148.300</t>
  </si>
  <si>
    <t>TERRA magis AG</t>
  </si>
  <si>
    <t>Moos-Strasse 3</t>
  </si>
  <si>
    <t>CHE-437.437.814</t>
  </si>
  <si>
    <t>Ganzenberger Käse GmbH Schütz Andreas</t>
  </si>
  <si>
    <t>Ganzenberg 35</t>
  </si>
  <si>
    <t>CHE-279.279.199</t>
  </si>
  <si>
    <t>Heinz Kilchenmann Holding GmbH</t>
  </si>
  <si>
    <t>Wald 27e</t>
  </si>
  <si>
    <t>CHE-489.489.890</t>
  </si>
  <si>
    <t>Aeschlimann Sport &amp; Design GmbH</t>
  </si>
  <si>
    <t>Hermandingen 73</t>
  </si>
  <si>
    <t>Bernstrasse 33</t>
  </si>
  <si>
    <t>Buchlistrasse 13</t>
  </si>
  <si>
    <t>Bahnhofstrasse 38</t>
  </si>
  <si>
    <t>CHE-466.466.541</t>
  </si>
  <si>
    <t>HEgä Egger</t>
  </si>
  <si>
    <t>CHE-471.471.484</t>
  </si>
  <si>
    <t>Jamai Bedachung und Wärmedämmung GmbH</t>
  </si>
  <si>
    <t>CHE-143.143.501</t>
  </si>
  <si>
    <t>UF Emch Holding AG</t>
  </si>
  <si>
    <t>CHE-275.275.478</t>
  </si>
  <si>
    <t>Lero AG</t>
  </si>
  <si>
    <t>Ringstrasse 22</t>
  </si>
  <si>
    <t>CHE-108.108.250</t>
  </si>
  <si>
    <t>Yildirim's Snack-House</t>
  </si>
  <si>
    <t>CHE-299.299.773</t>
  </si>
  <si>
    <t>Thäler Holding AG</t>
  </si>
  <si>
    <t>c/o Thäler Heizungstechnik AG</t>
  </si>
  <si>
    <t>CHE-379.379.740</t>
  </si>
  <si>
    <t>Thäler Heizungstechnik AG</t>
  </si>
  <si>
    <t>CHE-470.470.865</t>
  </si>
  <si>
    <t>Bucher Private Holding AG</t>
  </si>
  <si>
    <t>CHE-407.407.082</t>
  </si>
  <si>
    <t>Bucher Muniberg-Holding AG</t>
  </si>
  <si>
    <t>c/o David Benjamin Bucher</t>
  </si>
  <si>
    <t>CHE-359.359.137</t>
  </si>
  <si>
    <t>Wadolabi GmbH</t>
  </si>
  <si>
    <t>Brausmatt 25</t>
  </si>
  <si>
    <t>CHE-243.243.744</t>
  </si>
  <si>
    <t>Stuker WoMo GmbH</t>
  </si>
  <si>
    <t>Neustrasse 14</t>
  </si>
  <si>
    <t>CHE-379.379.622</t>
  </si>
  <si>
    <t>Oberlimatte AG</t>
  </si>
  <si>
    <t>Eschenstrasse 27</t>
  </si>
  <si>
    <t>CHE-138.138.869</t>
  </si>
  <si>
    <t>Zahnarztpraxis Dr. Fässler AG</t>
  </si>
  <si>
    <t>CHE-288.288.525</t>
  </si>
  <si>
    <t>My Garage Inhaber Künzi Marco</t>
  </si>
  <si>
    <t>CHE-141.141.784</t>
  </si>
  <si>
    <t>CHE-317.317.486</t>
  </si>
  <si>
    <t>Schlossmatt Gastro GmbH</t>
  </si>
  <si>
    <t>Bettenhausenstrasse 2</t>
  </si>
  <si>
    <t>CHE-471.471.635</t>
  </si>
  <si>
    <t>Hug Swiss-Production Holding GmbH</t>
  </si>
  <si>
    <t>CHE-469.469.550</t>
  </si>
  <si>
    <t>Leubau Group AG</t>
  </si>
  <si>
    <t>CHE-271.271.303</t>
  </si>
  <si>
    <t>Sarefa GmbH</t>
  </si>
  <si>
    <t>CHE-181.181.329</t>
  </si>
  <si>
    <t>CHE-283.283.486</t>
  </si>
  <si>
    <t>CHE-289.289.701</t>
  </si>
  <si>
    <t>Apotheke Meyer Roggwil AG</t>
  </si>
  <si>
    <t>CHE-179.179.518</t>
  </si>
  <si>
    <t>Dorfchäsi Hofer Aarwangen AG</t>
  </si>
  <si>
    <t>CHE-337.337.792</t>
  </si>
  <si>
    <t>Blumen Meiller, Nachfolgerin Michaela Eymann</t>
  </si>
  <si>
    <t>Pappelweg 3</t>
  </si>
  <si>
    <t>CHE-152.152.953</t>
  </si>
  <si>
    <t>Fritz Aegerter Holding AG</t>
  </si>
  <si>
    <t>CHE-363.363.292</t>
  </si>
  <si>
    <t>SiVet AG</t>
  </si>
  <si>
    <t>CHE-446.446.634</t>
  </si>
  <si>
    <t>RS Invest Holding GmbH</t>
  </si>
  <si>
    <t>Kilchweg 7</t>
  </si>
  <si>
    <t>CHE-305.305.434</t>
  </si>
  <si>
    <t>Boutique Naturel GmbH</t>
  </si>
  <si>
    <t>Brunnenplatz 8</t>
  </si>
  <si>
    <t>CHE-148.148.582</t>
  </si>
  <si>
    <t>DäMech GmbH</t>
  </si>
  <si>
    <t>CHE-417.417.028</t>
  </si>
  <si>
    <t>Sosana GmbH</t>
  </si>
  <si>
    <t>Gumpelen 69</t>
  </si>
  <si>
    <t>CHE-214.214.089</t>
  </si>
  <si>
    <t>visionite gmbh</t>
  </si>
  <si>
    <t>CHE-264.264.152</t>
  </si>
  <si>
    <t>Schelbli AG</t>
  </si>
  <si>
    <t>CHE-260.260.321</t>
  </si>
  <si>
    <t>RUMOLIA Beteiligungs AG</t>
  </si>
  <si>
    <t>CHE-230.230.164</t>
  </si>
  <si>
    <t>Rückenzentrum Oberaargau AG</t>
  </si>
  <si>
    <t>CHE-470.470.260</t>
  </si>
  <si>
    <t>BCIS AG</t>
  </si>
  <si>
    <t>CHE-315.315.983</t>
  </si>
  <si>
    <t>S.O.G. investigations Ron Glaser</t>
  </si>
  <si>
    <t>Neuweg 2d</t>
  </si>
  <si>
    <t>CHE-223.223.267</t>
  </si>
  <si>
    <t>flückiger hecht ag</t>
  </si>
  <si>
    <t>Kornstrasse 4</t>
  </si>
  <si>
    <t>Marktgasse 21</t>
  </si>
  <si>
    <t>Cartier Bildhauer</t>
  </si>
  <si>
    <t>CHE-391.391.405</t>
  </si>
  <si>
    <t>BSY.ch Raumgestaltung GmbH</t>
  </si>
  <si>
    <t>Sager 272</t>
  </si>
  <si>
    <t>CHE-290.290.838</t>
  </si>
  <si>
    <t>Stalder Terratech GmbH</t>
  </si>
  <si>
    <t>CHE-196.196.274</t>
  </si>
  <si>
    <t>CHE-293.293.718</t>
  </si>
  <si>
    <t>BBBR Holding AG</t>
  </si>
  <si>
    <t>Bleichestrasse 5B</t>
  </si>
  <si>
    <t>CHE-172.172.751</t>
  </si>
  <si>
    <t>HK Holding AG</t>
  </si>
  <si>
    <t>c/o A. Röthlisberger AG</t>
  </si>
  <si>
    <t>CHE-309.309.706</t>
  </si>
  <si>
    <t>Sport &amp; Freizeit Langenthal AG</t>
  </si>
  <si>
    <t>CHE-414.414.689</t>
  </si>
  <si>
    <t>Duppenthaler Gartengestaltung GmbH</t>
  </si>
  <si>
    <t>Feldstrasse 5</t>
  </si>
  <si>
    <t>CHE-477.477.821</t>
  </si>
  <si>
    <t>CHE-456.456.806</t>
  </si>
  <si>
    <t>PersonalFischer GmbH</t>
  </si>
  <si>
    <t>CHE-431.431.744</t>
  </si>
  <si>
    <t>Schoris Bäckerei KLG</t>
  </si>
  <si>
    <t>CHE-150.150.716</t>
  </si>
  <si>
    <t>Tape bar &amp; restaurant Tafoski</t>
  </si>
  <si>
    <t>CHE-271.271.538</t>
  </si>
  <si>
    <t>Albatros KLG</t>
  </si>
  <si>
    <t>Mittlerweg 5</t>
  </si>
  <si>
    <t>CHE-303.303.033</t>
  </si>
  <si>
    <t>Michael Ernst Adam</t>
  </si>
  <si>
    <t>Ahornstrasse 26</t>
  </si>
  <si>
    <t>CHE-384.384.219</t>
  </si>
  <si>
    <t>Büünemätteli Immobilien GmbH</t>
  </si>
  <si>
    <t>Kirchgasse 22</t>
  </si>
  <si>
    <t>CHE-271.271.703</t>
  </si>
  <si>
    <t>Brunnengenossenschaft Berken</t>
  </si>
  <si>
    <t>c/o Hans Ulrich Hubacher</t>
  </si>
  <si>
    <t>Unterberken 12</t>
  </si>
  <si>
    <t>CHE-186.186.151</t>
  </si>
  <si>
    <t>Kälte Tietz GmbH</t>
  </si>
  <si>
    <t>CHE-293.293.200</t>
  </si>
  <si>
    <t>MMB Holding GmbH</t>
  </si>
  <si>
    <t>CHE-368.368.338</t>
  </si>
  <si>
    <t>Obrasso Group GmbH</t>
  </si>
  <si>
    <t>c/o Infrafox GmbH</t>
  </si>
  <si>
    <t>Baselstrasse 23C</t>
  </si>
  <si>
    <t>CHE-306.306.077</t>
  </si>
  <si>
    <t>ROSHI Khurram Siddiqui</t>
  </si>
  <si>
    <t>CHE-148.148.802</t>
  </si>
  <si>
    <t>FITNESS AND MORE by Bürgisser</t>
  </si>
  <si>
    <t>Unterholz 12a</t>
  </si>
  <si>
    <t>CHE-259.259.067</t>
  </si>
  <si>
    <t>Lenti Street Kitchen</t>
  </si>
  <si>
    <t>Riedgasse 1</t>
  </si>
  <si>
    <t>CHE-256.256.051</t>
  </si>
  <si>
    <t>KGLTG Holding AG</t>
  </si>
  <si>
    <t>CHE-272.272.449</t>
  </si>
  <si>
    <t>Oberfeldweg 11</t>
  </si>
  <si>
    <t>CHE-389.389.349</t>
  </si>
  <si>
    <t>frey weine</t>
  </si>
  <si>
    <t>Bergstrasse 6</t>
  </si>
  <si>
    <t>CHE-153.153.105</t>
  </si>
  <si>
    <t>Wälchli Heizungstechnik-Brennerservice</t>
  </si>
  <si>
    <t>Erlibachweg 5</t>
  </si>
  <si>
    <t>CHE-254.254.443</t>
  </si>
  <si>
    <t>Züger Gartenbau AG</t>
  </si>
  <si>
    <t>CHE-267.267.069</t>
  </si>
  <si>
    <t>MF MY DREAM HOME GmbH</t>
  </si>
  <si>
    <t>Blumenstrasse 13</t>
  </si>
  <si>
    <t>CHE-432.432.774</t>
  </si>
  <si>
    <t>HANNES EGLOFF IMMOBILIEN</t>
  </si>
  <si>
    <t>Doktorsträssli 6B</t>
  </si>
  <si>
    <t>CHE-179.179.051</t>
  </si>
  <si>
    <t>RBST Holding AG</t>
  </si>
  <si>
    <t>c/o René Buri</t>
  </si>
  <si>
    <t>Gemeindeweid 2</t>
  </si>
  <si>
    <t>CHE-447.447.795</t>
  </si>
  <si>
    <t>Heart Five GmbH</t>
  </si>
  <si>
    <t>Lehbachgasse 5</t>
  </si>
  <si>
    <t>CHE-140.140.155</t>
  </si>
  <si>
    <t>Markus Dällenbach</t>
  </si>
  <si>
    <t>Dorfgasse 115</t>
  </si>
  <si>
    <t>CHE-346.346.882</t>
  </si>
  <si>
    <t>Physio Vital Bützberg GmbH</t>
  </si>
  <si>
    <t>CHE-198.198.444</t>
  </si>
  <si>
    <t>Dilara sosk GmbH</t>
  </si>
  <si>
    <t>CHE-255.255.102</t>
  </si>
  <si>
    <t>Medizinischer Schreibservice Felber</t>
  </si>
  <si>
    <t>CHE-190.190.112</t>
  </si>
  <si>
    <t>Robin Schenk GmbH</t>
  </si>
  <si>
    <t>CHE-471.471.225</t>
  </si>
  <si>
    <t>HLS ENERGIETECH EMINI</t>
  </si>
  <si>
    <t>Unterstrasse 31</t>
  </si>
  <si>
    <t>CHE-255.255.886</t>
  </si>
  <si>
    <t>Österreichische GenussStube Maria Knöbl</t>
  </si>
  <si>
    <t>Wuhrgasse 9</t>
  </si>
  <si>
    <t>CHE-134.134.288</t>
  </si>
  <si>
    <t>Leist Optik GmbH</t>
  </si>
  <si>
    <t>CHE-450.450.141</t>
  </si>
  <si>
    <t>Verkehrskadetten Oberaargau</t>
  </si>
  <si>
    <t>CHE-355.355.001</t>
  </si>
  <si>
    <t>Classic Automobile Vogel GmbH</t>
  </si>
  <si>
    <t>St. Urbanstrasse 69b</t>
  </si>
  <si>
    <t>Bielstrasse 5</t>
  </si>
  <si>
    <t>CHE-418.418.451</t>
  </si>
  <si>
    <t>EmmenImmo AG, Niederbipp</t>
  </si>
  <si>
    <t>CHE-255.255.736</t>
  </si>
  <si>
    <t>KomfortZone Beatrice Broger</t>
  </si>
  <si>
    <t>CHE-342.342.842</t>
  </si>
  <si>
    <t>TRA Holding AG</t>
  </si>
  <si>
    <t>c/o Dres. med. Andreas und Ann Baumann</t>
  </si>
  <si>
    <t>Höhenweg 33</t>
  </si>
  <si>
    <t>CHE-337.337.082</t>
  </si>
  <si>
    <t>Thermofit Gebäudetechnik GmbH</t>
  </si>
  <si>
    <t>Gugelmannstrasse 4</t>
  </si>
  <si>
    <t>CHE-176.176.063</t>
  </si>
  <si>
    <t>Fahrschule Meyer GmbH</t>
  </si>
  <si>
    <t>Schür 90</t>
  </si>
  <si>
    <t>CHE-373.373.264</t>
  </si>
  <si>
    <t>Physiotherapie Ulmenhof GmbH</t>
  </si>
  <si>
    <t>CHE-150.150.108</t>
  </si>
  <si>
    <t>Bäckerei-Konditorei Birrer GmbH</t>
  </si>
  <si>
    <t>CHE-435.435.655</t>
  </si>
  <si>
    <t>lightnet multimedia gmbh</t>
  </si>
  <si>
    <t>Baumgarten 59A</t>
  </si>
  <si>
    <t>CHE-219.219.026</t>
  </si>
  <si>
    <t>Hubi Montagen GmbH</t>
  </si>
  <si>
    <t>Ringweg 3</t>
  </si>
  <si>
    <t>CHE-226.226.735</t>
  </si>
  <si>
    <t>Agentur Blue Travel GmbH</t>
  </si>
  <si>
    <t>c/o Carmen Becker</t>
  </si>
  <si>
    <t>Försterstrasse 7</t>
  </si>
  <si>
    <t>CHE-181.181.414</t>
  </si>
  <si>
    <t>Golf Unlimited GmbH</t>
  </si>
  <si>
    <t>Byfang 24</t>
  </si>
  <si>
    <t>CHE-241.241.400</t>
  </si>
  <si>
    <t>Seelenhunde.ch GmbH</t>
  </si>
  <si>
    <t>CHE-268.268.880</t>
  </si>
  <si>
    <t>GJ Beteiligungs AG</t>
  </si>
  <si>
    <t>c/o Janine Gilgen</t>
  </si>
  <si>
    <t>CHE-409.409.859</t>
  </si>
  <si>
    <t>Alpine Professional AG</t>
  </si>
  <si>
    <t>Galmisweg 38</t>
  </si>
  <si>
    <t>CHE-415.415.280</t>
  </si>
  <si>
    <t>Vobro Cars GmbH</t>
  </si>
  <si>
    <t>CHE-179.179.951</t>
  </si>
  <si>
    <t>Braun Betonfertigteile AG</t>
  </si>
  <si>
    <t>C236100</t>
  </si>
  <si>
    <t>Herstellung von Erzeugnissen aus Beton, Zement und Kalksandstein für den Bau</t>
  </si>
  <si>
    <t>CHE-160.160.153</t>
  </si>
  <si>
    <t>Born Creations</t>
  </si>
  <si>
    <t>Untere Dürrmühlestrasse 6</t>
  </si>
  <si>
    <t>CHE-450.450.247</t>
  </si>
  <si>
    <t>Niederhäuser Solutions GmbH</t>
  </si>
  <si>
    <t>c/o Hansruedi und Janet Niederhäuser-Bryden</t>
  </si>
  <si>
    <t>Rossachernweg 14</t>
  </si>
  <si>
    <t>CHE-413.413.098</t>
  </si>
  <si>
    <t>Tschumiautomobile, Inhaber Celik</t>
  </si>
  <si>
    <t>Buchlistrasse 5a</t>
  </si>
  <si>
    <t>CHE-437.437.896</t>
  </si>
  <si>
    <t>W. Maurer Beteiligungs AG</t>
  </si>
  <si>
    <t>CHE-312.312.822</t>
  </si>
  <si>
    <t>Kasawyn AG</t>
  </si>
  <si>
    <t>CHE-213.213.260</t>
  </si>
  <si>
    <t>Stephan W. M. Maag Holding AG</t>
  </si>
  <si>
    <t>CHE-370.370.162</t>
  </si>
  <si>
    <t>EW Security GmbH</t>
  </si>
  <si>
    <t>CHE-240.240.145</t>
  </si>
  <si>
    <t>Rigert Keramik AG</t>
  </si>
  <si>
    <t>CHE-101.101.832</t>
  </si>
  <si>
    <t>ABC Power Gym AG</t>
  </si>
  <si>
    <t>CHE-228.228.035</t>
  </si>
  <si>
    <t>Restaurant zur Alten Post, M. Correia Teixeira dos Santos</t>
  </si>
  <si>
    <t>CHE-364.364.282</t>
  </si>
  <si>
    <t>DasGeschenk.ch GmbH</t>
  </si>
  <si>
    <t>Mittelstrasse 35</t>
  </si>
  <si>
    <t>CHE-256.256.293</t>
  </si>
  <si>
    <t>Schmiedengasse 6</t>
  </si>
  <si>
    <t>CHE-165.165.339</t>
  </si>
  <si>
    <t>Podop Fusspflegepraxis GmbH</t>
  </si>
  <si>
    <t>CHE-259.259.742</t>
  </si>
  <si>
    <t>c &amp; h immo AG</t>
  </si>
  <si>
    <t>Wangenstrasse 2</t>
  </si>
  <si>
    <t>CHE-218.218.260</t>
  </si>
  <si>
    <t>Computer Enterprise Zurflüh</t>
  </si>
  <si>
    <t>CHE-191.191.912</t>
  </si>
  <si>
    <t>Kristina's Reinigungen Benchedly</t>
  </si>
  <si>
    <t>CHE-402.402.071</t>
  </si>
  <si>
    <t>Schneeberger Bau Holding AG</t>
  </si>
  <si>
    <t>c/o U. und U. Schneeberger-Haldimann</t>
  </si>
  <si>
    <t>CHE-489.489.696</t>
  </si>
  <si>
    <t>Peter Mathys</t>
  </si>
  <si>
    <t>Birkenweg 9</t>
  </si>
  <si>
    <t>CHE-461.461.466</t>
  </si>
  <si>
    <t>Bruno Kleeb Reparaturservice GmbH</t>
  </si>
  <si>
    <t>Belzweid 28</t>
  </si>
  <si>
    <t>CHE-225.225.850</t>
  </si>
  <si>
    <t>NVMK AG</t>
  </si>
  <si>
    <t>Hinterbergweg 20</t>
  </si>
  <si>
    <t>CHE-303.303.451</t>
  </si>
  <si>
    <t>Steiner Beteiligungen AG</t>
  </si>
  <si>
    <t>CHE-332.332.186</t>
  </si>
  <si>
    <t>Heiniger Lohnarbeiten AG</t>
  </si>
  <si>
    <t>CHE-348.348.045</t>
  </si>
  <si>
    <t>Rö-Trans Holding AG</t>
  </si>
  <si>
    <t>CHE-354.354.833</t>
  </si>
  <si>
    <t>DAHO AG</t>
  </si>
  <si>
    <t>CHE-488.488.800</t>
  </si>
  <si>
    <t>SMBL Holding AG</t>
  </si>
  <si>
    <t>c/o HP Lanz AG</t>
  </si>
  <si>
    <t>CHE-269.269.864</t>
  </si>
  <si>
    <t>Andreas Meister GmbH</t>
  </si>
  <si>
    <t>Thanweg 15</t>
  </si>
  <si>
    <t>CHE-345.345.978</t>
  </si>
  <si>
    <t>GMB-Technik AG</t>
  </si>
  <si>
    <t>CHE-278.278.010</t>
  </si>
  <si>
    <t>Physiotherapie Valérie Luternauer GmbH</t>
  </si>
  <si>
    <t>CHE-452.452.784</t>
  </si>
  <si>
    <t>Bernhard Partner AG</t>
  </si>
  <si>
    <t>CHE-350.350.976</t>
  </si>
  <si>
    <t>UPAJA AG</t>
  </si>
  <si>
    <t>Mühlematte 11</t>
  </si>
  <si>
    <t>CHE-456.456.861</t>
  </si>
  <si>
    <t>W+H AG</t>
  </si>
  <si>
    <t>CHE-459.459.917</t>
  </si>
  <si>
    <t>Jürg Ledermann Mechanische Werkstatt</t>
  </si>
  <si>
    <t>Dürrenbühl 62A</t>
  </si>
  <si>
    <t>CHE-245.245.292</t>
  </si>
  <si>
    <t>Kurt Käser GmbH</t>
  </si>
  <si>
    <t>Hauptstrasse 23</t>
  </si>
  <si>
    <t>CHE-256.256.459</t>
  </si>
  <si>
    <t>Gruppenpraxis Dres. med. Krieger AG</t>
  </si>
  <si>
    <t>Jurastrasse 33</t>
  </si>
  <si>
    <t>CHE-392.392.895</t>
  </si>
  <si>
    <t>SK Haustechnik GmbH</t>
  </si>
  <si>
    <t>CHE-264.264.313</t>
  </si>
  <si>
    <t>Sport-Garage Widmer AG</t>
  </si>
  <si>
    <t>Unterdorf 159</t>
  </si>
  <si>
    <t>CHE-210.210.769</t>
  </si>
  <si>
    <t>H.OBI GmbH</t>
  </si>
  <si>
    <t>Moosackerweg 6</t>
  </si>
  <si>
    <t>CHE-164.164.217</t>
  </si>
  <si>
    <t>Anderegg Haustechnik AG</t>
  </si>
  <si>
    <t>CHE-428.428.223</t>
  </si>
  <si>
    <t>Army Shop Herzogenbuchsee GmbH</t>
  </si>
  <si>
    <t>Lagerstrasse 19</t>
  </si>
  <si>
    <t>CHE-212.212.628</t>
  </si>
  <si>
    <t>gamar systems gmbh</t>
  </si>
  <si>
    <t>CHE-435.435.143</t>
  </si>
  <si>
    <t>fotojeger gmbh</t>
  </si>
  <si>
    <t>c/o Markus A. Jegerlehner</t>
  </si>
  <si>
    <t>Lindenstrasse 21</t>
  </si>
  <si>
    <t>CHE-395.395.704</t>
  </si>
  <si>
    <t>GerMar GmbH</t>
  </si>
  <si>
    <t>Fiechtenberg 18</t>
  </si>
  <si>
    <t>CHE-392.392.820</t>
  </si>
  <si>
    <t>AC-4Tech GmbH</t>
  </si>
  <si>
    <t>CHE-479.479.182</t>
  </si>
  <si>
    <t>Sirius A Holding AG</t>
  </si>
  <si>
    <t>CHE-407.407.419</t>
  </si>
  <si>
    <t>Dinus GmbH</t>
  </si>
  <si>
    <t>CHE-145.145.714</t>
  </si>
  <si>
    <t>Bucher Mode AG</t>
  </si>
  <si>
    <t>CHE-304.304.065</t>
  </si>
  <si>
    <t>Mushica Consulting GmbH</t>
  </si>
  <si>
    <t>CHE-250.250.086</t>
  </si>
  <si>
    <t>bellbird Miriam Hallauer</t>
  </si>
  <si>
    <t>CHE-193.193.259</t>
  </si>
  <si>
    <t>KITAMU GmbH</t>
  </si>
  <si>
    <t>Eigerweg 11</t>
  </si>
  <si>
    <t>CHE-409.409.723</t>
  </si>
  <si>
    <t>Denner Partner Inhaber Markus Fankhauser</t>
  </si>
  <si>
    <t>Obere Dürrmühlestrasse 32</t>
  </si>
  <si>
    <t>CHE-441.441.813</t>
  </si>
  <si>
    <t>USODEC AG</t>
  </si>
  <si>
    <t>CHE-423.423.425</t>
  </si>
  <si>
    <t>kaufwolle.ch gmbh</t>
  </si>
  <si>
    <t>Postweg 36</t>
  </si>
  <si>
    <t>CHE-433.433.922</t>
  </si>
  <si>
    <t>SmartDistribution KLG</t>
  </si>
  <si>
    <t>CHE-279.279.752</t>
  </si>
  <si>
    <t>hürzeler Holz+Kunststoffbau GmbH</t>
  </si>
  <si>
    <t>CHE-270.270.672</t>
  </si>
  <si>
    <t>Simon Wernly GmbH</t>
  </si>
  <si>
    <t>CHE-473.473.252</t>
  </si>
  <si>
    <t>ELTec 3000 GmbH</t>
  </si>
  <si>
    <t>CHE-217.217.559</t>
  </si>
  <si>
    <t>Nägeli-Lüthi Gastro GmbH</t>
  </si>
  <si>
    <t>CHE-196.196.389</t>
  </si>
  <si>
    <t>Andy's-Gym, Inhaber Beat Vonmoos</t>
  </si>
  <si>
    <t>CHE-489.489.680</t>
  </si>
  <si>
    <t>Kläntschi Bedachungen GmbH</t>
  </si>
  <si>
    <t>Hofstrasse 26</t>
  </si>
  <si>
    <t>CHE-487.487.502</t>
  </si>
  <si>
    <t>Marti Inneneinrichtungen AG, Zweigniederlassung</t>
  </si>
  <si>
    <t>CHE-487.487.297</t>
  </si>
  <si>
    <t>Martignano GmbH</t>
  </si>
  <si>
    <t>CHE-486.486.104</t>
  </si>
  <si>
    <t>Gjuch Energie AG</t>
  </si>
  <si>
    <t>c/o Andreas Sigmund Küffer</t>
  </si>
  <si>
    <t>Bodmengasse 4</t>
  </si>
  <si>
    <t>CHE-483.483.714</t>
  </si>
  <si>
    <t>Freitag Transporte</t>
  </si>
  <si>
    <t>CHE-480.480.383</t>
  </si>
  <si>
    <t>Malergeschäft Pascal Streit</t>
  </si>
  <si>
    <t>Aegertenstrasse 27</t>
  </si>
  <si>
    <t>CHE-476.476.779</t>
  </si>
  <si>
    <t>Edelweiss- und Vorhangstübli Kohler Madeleine</t>
  </si>
  <si>
    <t>C139201</t>
  </si>
  <si>
    <t>Herstellung von Haus-, Bett- und Tischwäsche</t>
  </si>
  <si>
    <t>CHE-471.471.264</t>
  </si>
  <si>
    <t>IAT Holding AG</t>
  </si>
  <si>
    <t>CHE-470.470.146</t>
  </si>
  <si>
    <t>Kläy Consulting GmbH</t>
  </si>
  <si>
    <t>CHE-464.464.836</t>
  </si>
  <si>
    <t>elements4art - Maja Zbinden</t>
  </si>
  <si>
    <t>CHE-463.463.193</t>
  </si>
  <si>
    <t>Reno-Bau Mosimann GmbH</t>
  </si>
  <si>
    <t>Weidackerstrasse 5</t>
  </si>
  <si>
    <t>CHE-461.461.529</t>
  </si>
  <si>
    <t>jas 101 GmbH</t>
  </si>
  <si>
    <t>CHE-459.459.888</t>
  </si>
  <si>
    <t>schlüssfach.ch GmbH</t>
  </si>
  <si>
    <t>CHE-457.457.917</t>
  </si>
  <si>
    <t>meyer management development</t>
  </si>
  <si>
    <t>CHE-453.453.465</t>
  </si>
  <si>
    <t>NUB Holding AG</t>
  </si>
  <si>
    <t>c/o Peter Scheidegger AG</t>
  </si>
  <si>
    <t>CHE-454.454.353</t>
  </si>
  <si>
    <t>Lantop AG</t>
  </si>
  <si>
    <t>Grubenstrasse 47</t>
  </si>
  <si>
    <t>CHE-451.451.575</t>
  </si>
  <si>
    <t>Reusser Holz, Dach + Garten</t>
  </si>
  <si>
    <t>CHE-450.450.328</t>
  </si>
  <si>
    <t>Nufer GmbH</t>
  </si>
  <si>
    <t>Jurastrasse 82</t>
  </si>
  <si>
    <t>CHE-445.445.388</t>
  </si>
  <si>
    <t>Grill-Shop Scheidegger</t>
  </si>
  <si>
    <t>CHE-444.444.512</t>
  </si>
  <si>
    <t>plan line gmbH</t>
  </si>
  <si>
    <t>Sonnhaldenweg 3</t>
  </si>
  <si>
    <t>CHE-436.436.259</t>
  </si>
  <si>
    <t>Danioth Generalbau AG</t>
  </si>
  <si>
    <t>CHE-431.431.491</t>
  </si>
  <si>
    <t>Peter Leuenberger AG</t>
  </si>
  <si>
    <t>CHE-420.420.763</t>
  </si>
  <si>
    <t>arte-via Schütz</t>
  </si>
  <si>
    <t>CHE-419.419.291</t>
  </si>
  <si>
    <t>MAHE Herrmann GmbH</t>
  </si>
  <si>
    <t>Am Bach 19</t>
  </si>
  <si>
    <t>CHE-419.419.388</t>
  </si>
  <si>
    <t>Fürobe-Brot GmbH</t>
  </si>
  <si>
    <t>c/o Christoph Ambühl</t>
  </si>
  <si>
    <t>CHE-419.419.564</t>
  </si>
  <si>
    <t>CABALLOS IBERIA K. Vogt Scheerer</t>
  </si>
  <si>
    <t>Bahnweg 18</t>
  </si>
  <si>
    <t>A014300</t>
  </si>
  <si>
    <t>Haltung von Tieren der Pferdegattung</t>
  </si>
  <si>
    <t>CHE-417.417.817</t>
  </si>
  <si>
    <t>Urs Weber Holding AG</t>
  </si>
  <si>
    <t>Weissensteinstrasse 20</t>
  </si>
  <si>
    <t>CHE-413.413.143</t>
  </si>
  <si>
    <t>brimadesign Brigitte Mathys</t>
  </si>
  <si>
    <t>Rumiweg 9</t>
  </si>
  <si>
    <t>CHE-413.413.506</t>
  </si>
  <si>
    <t>Röthlimmo GmbH</t>
  </si>
  <si>
    <t>Moosbergstrasse 29</t>
  </si>
  <si>
    <t>CHE-407.407.877</t>
  </si>
  <si>
    <t>Helvetics Sport AG</t>
  </si>
  <si>
    <t>CHE-408.408.794</t>
  </si>
  <si>
    <t>Regula Utiger-Giger &amp; Co.</t>
  </si>
  <si>
    <t>Brunnhofstrasse 43</t>
  </si>
  <si>
    <t>CHE-384.384.878</t>
  </si>
  <si>
    <t>Capitol Estate GmbH</t>
  </si>
  <si>
    <t>CHE-383.383.312</t>
  </si>
  <si>
    <t>Genossenschaft Wiesenweg Attiswil</t>
  </si>
  <si>
    <t>CHE-380.380.488</t>
  </si>
  <si>
    <t>Black Oak GmbH</t>
  </si>
  <si>
    <t>c/o This Gugelmann</t>
  </si>
  <si>
    <t>Untergasse 16C</t>
  </si>
  <si>
    <t>CHE-379.379.190</t>
  </si>
  <si>
    <t>stesta swiss ag</t>
  </si>
  <si>
    <t>Bergwinkel 11</t>
  </si>
  <si>
    <t>CHE-379.379.944</t>
  </si>
  <si>
    <t>4D Montagen GmbH</t>
  </si>
  <si>
    <t>CHE-379.379.426</t>
  </si>
  <si>
    <t>Wagner + Boss GmbH</t>
  </si>
  <si>
    <t>Forst 111</t>
  </si>
  <si>
    <t>CHE-372.372.354</t>
  </si>
  <si>
    <t>Spitalstrasse 51</t>
  </si>
  <si>
    <t>Haldenstrasse 1</t>
  </si>
  <si>
    <t>CHE-372.372.048</t>
  </si>
  <si>
    <t>Freudiger Gartenpflege</t>
  </si>
  <si>
    <t>Neuweg 8</t>
  </si>
  <si>
    <t>CHE-369.369.996</t>
  </si>
  <si>
    <t>CHE-363.363.903</t>
  </si>
  <si>
    <t>AA Managementpartner GmbH</t>
  </si>
  <si>
    <t>c/o Adrian Aebi</t>
  </si>
  <si>
    <t>Marie Sollberger-Strasse 5</t>
  </si>
  <si>
    <t>CHE-361.361.901</t>
  </si>
  <si>
    <t>ZOLTAN MONTAGE</t>
  </si>
  <si>
    <t>CHE-361.361.718</t>
  </si>
  <si>
    <t>Sathi GmbH</t>
  </si>
  <si>
    <t>CHE-356.356.858</t>
  </si>
  <si>
    <t>coloro consulting Loosli</t>
  </si>
  <si>
    <t>CHE-349.349.278</t>
  </si>
  <si>
    <t>Schreinerei Kunz Holding GmbH</t>
  </si>
  <si>
    <t>c/o Schreinerei Kunz AG</t>
  </si>
  <si>
    <t>CHE-418.418.632</t>
  </si>
  <si>
    <t>Plüss Production GmbH</t>
  </si>
  <si>
    <t>Dorfgasse 68</t>
  </si>
  <si>
    <t>CHE-348.348.609</t>
  </si>
  <si>
    <t>Christa Balzer GmbH</t>
  </si>
  <si>
    <t>Panoramastrasse 20</t>
  </si>
  <si>
    <t>CHE-345.345.608</t>
  </si>
  <si>
    <t>Holz-Energie Wiedlisbach AG</t>
  </si>
  <si>
    <t>CHE-344.344.633</t>
  </si>
  <si>
    <t>Jäggi Holding GmbH</t>
  </si>
  <si>
    <t>Hausmattstrasse 54</t>
  </si>
  <si>
    <t>CHE-342.342.000</t>
  </si>
  <si>
    <t>Richard Holding AG</t>
  </si>
  <si>
    <t>CHE-342.342.998</t>
  </si>
  <si>
    <t>B. Stempfle Pharma Consulting</t>
  </si>
  <si>
    <t>Weihergasse 9</t>
  </si>
  <si>
    <t>CHE-341.341.263</t>
  </si>
  <si>
    <t>Multibau Huttu GmbH</t>
  </si>
  <si>
    <t>Bernstrasse 32</t>
  </si>
  <si>
    <t>Lotzwilstrasse 45</t>
  </si>
  <si>
    <t>CHE-333.333.279</t>
  </si>
  <si>
    <t>Panoramarestaurant Fritzenfluh AG</t>
  </si>
  <si>
    <t>CHE-330.330.361</t>
  </si>
  <si>
    <t>Garage Oetterli AG</t>
  </si>
  <si>
    <t>CHE-330.330.463</t>
  </si>
  <si>
    <t>Infrafox GmbH</t>
  </si>
  <si>
    <t>N773300</t>
  </si>
  <si>
    <t>Vermietung von Büromaschinen, Datenverarbeitungsgeräten und -einrichtungen</t>
  </si>
  <si>
    <t>CHE-328.328.609</t>
  </si>
  <si>
    <t>Bifangweg 24</t>
  </si>
  <si>
    <t>CHE-326.326.134</t>
  </si>
  <si>
    <t>Perren Malergeschäft GmbH</t>
  </si>
  <si>
    <t>CHE-323.323.587</t>
  </si>
  <si>
    <t>iZMK AG</t>
  </si>
  <si>
    <t>Anternstrasse 22</t>
  </si>
  <si>
    <t>CHE-315.315.262</t>
  </si>
  <si>
    <t>Sunnsite Management AG</t>
  </si>
  <si>
    <t>CHE-315.315.699</t>
  </si>
  <si>
    <t>trösch informatik GmbH</t>
  </si>
  <si>
    <t>Forst 109</t>
  </si>
  <si>
    <t>CHE-315.315.956</t>
  </si>
  <si>
    <t>uruma Holding AG</t>
  </si>
  <si>
    <t>CHE-312.312.836</t>
  </si>
  <si>
    <t>Auto Back</t>
  </si>
  <si>
    <t>Käsereistrasse 4</t>
  </si>
  <si>
    <t>CHE-309.309.040</t>
  </si>
  <si>
    <t>Autres Fleurs - Sarah Müller-Waibel Blumenwerkstatt</t>
  </si>
  <si>
    <t>Hasengasse 1</t>
  </si>
  <si>
    <t>CHE-303.303.358</t>
  </si>
  <si>
    <t>Metzgerei Niklaus</t>
  </si>
  <si>
    <t>Dorfstrasse 75</t>
  </si>
  <si>
    <t>CHE-299.299.005</t>
  </si>
  <si>
    <t>Blumen "La Violetta" Bettina Reinmann</t>
  </si>
  <si>
    <t>CHE-298.298.932</t>
  </si>
  <si>
    <t>Gas To Play GmbH</t>
  </si>
  <si>
    <t>Kanalweg 18</t>
  </si>
  <si>
    <t>Schreier Versicherungen</t>
  </si>
  <si>
    <t>CHE-296.296.908</t>
  </si>
  <si>
    <t>Speriwa AG</t>
  </si>
  <si>
    <t>Stockackerweg 22</t>
  </si>
  <si>
    <t>CHE-113.113.673</t>
  </si>
  <si>
    <t>Spätig Informatik AG</t>
  </si>
  <si>
    <t>Sommer Abbruch- und Baggerarbeiten</t>
  </si>
  <si>
    <t>Dorf 113D</t>
  </si>
  <si>
    <t>CHE-105.105.977</t>
  </si>
  <si>
    <t>TGW Holding AG</t>
  </si>
  <si>
    <t>CHE-108.108.961</t>
  </si>
  <si>
    <t>AGE Develop and Communication Engineering, Gloor</t>
  </si>
  <si>
    <t>Hinterbergweg 11</t>
  </si>
  <si>
    <t>CHE-108.108.569</t>
  </si>
  <si>
    <t>Fritz Krähenbühl Pferdezucht- und Handel</t>
  </si>
  <si>
    <t>Charles Brun El Mosquito GmbH</t>
  </si>
  <si>
    <t>Gebrüder Gehriger</t>
  </si>
  <si>
    <t>Oeleweg 5</t>
  </si>
  <si>
    <t>CHE-113.113.506</t>
  </si>
  <si>
    <t>Airside GmbH</t>
  </si>
  <si>
    <t>CHE-113.113.468</t>
  </si>
  <si>
    <t>Medas Oberaargau AG</t>
  </si>
  <si>
    <t>CHE-104.104.849</t>
  </si>
  <si>
    <t>Fankhauser &amp; Thomi Immobilien GmbH</t>
  </si>
  <si>
    <t>CHE-113.113.285</t>
  </si>
  <si>
    <t>Retis Gebäudemanagement GmbH</t>
  </si>
  <si>
    <t>Rosenweg 3</t>
  </si>
  <si>
    <t>G465102</t>
  </si>
  <si>
    <t>Grosshandel mit Software</t>
  </si>
  <si>
    <t>Habisreutinger Gebäudehülle GmbH</t>
  </si>
  <si>
    <t>Brückenstrasse 6a</t>
  </si>
  <si>
    <t>Aarwangenstrasse 61</t>
  </si>
  <si>
    <t>CHE-297.297.673</t>
  </si>
  <si>
    <t>Diem Schreinerei</t>
  </si>
  <si>
    <t>CHE-248.248.908</t>
  </si>
  <si>
    <t>GLASdesign Useini</t>
  </si>
  <si>
    <t>Hardstrasse 7</t>
  </si>
  <si>
    <t>CHE-113.113.073</t>
  </si>
  <si>
    <t>Schreinerei Wagner</t>
  </si>
  <si>
    <t>Untergasse 24</t>
  </si>
  <si>
    <t>Melchnaustrasse 43</t>
  </si>
  <si>
    <t>CHE-229.229.362</t>
  </si>
  <si>
    <t>Garage Lüthi</t>
  </si>
  <si>
    <t>CHE-108.108.485</t>
  </si>
  <si>
    <t>Schreinerei Glutz AG</t>
  </si>
  <si>
    <t>Sternenstrasse 41</t>
  </si>
  <si>
    <t>CHE-364.364.548</t>
  </si>
  <si>
    <t>AXA Hauptagentur Ivan Martines</t>
  </si>
  <si>
    <t>CHE-105.105.287</t>
  </si>
  <si>
    <t>OAKWAY Multimedia Castelberg</t>
  </si>
  <si>
    <t>CHE-104.104.597</t>
  </si>
  <si>
    <t>HEBU-KERAMIK, Burkhard Beat + Hegi Samuel</t>
  </si>
  <si>
    <t>CHE-222.222.639</t>
  </si>
  <si>
    <t>Bonchi Widanaralalage</t>
  </si>
  <si>
    <t>CHE-106.106.653</t>
  </si>
  <si>
    <t>Ducksch Anliker Immo Management AG</t>
  </si>
  <si>
    <t>CHE-109.109.171</t>
  </si>
  <si>
    <t>Musik-Kleinert</t>
  </si>
  <si>
    <t>Aarwangenstrasse 28</t>
  </si>
  <si>
    <t>Meyer &amp; Cie.</t>
  </si>
  <si>
    <t>CHE-143.143.188</t>
  </si>
  <si>
    <t>Schulthess Tierärzte AG</t>
  </si>
  <si>
    <t>CHE-296.296.614</t>
  </si>
  <si>
    <t>curafox AG</t>
  </si>
  <si>
    <t>CHE-426.426.097</t>
  </si>
  <si>
    <t>Stiftung VitaNetz</t>
  </si>
  <si>
    <t>CHE-108.108.128</t>
  </si>
  <si>
    <t>Garage R. Bussmann</t>
  </si>
  <si>
    <t>Buchlistr. 37</t>
  </si>
  <si>
    <t>Samuel Lanz</t>
  </si>
  <si>
    <t>Moosstrasse 2</t>
  </si>
  <si>
    <t>CHE-107.107.818</t>
  </si>
  <si>
    <t>A. Niederhauser AG</t>
  </si>
  <si>
    <t>CHE-115.115.308</t>
  </si>
  <si>
    <t>Beat Lehmann</t>
  </si>
  <si>
    <t>Spitalgasse 26</t>
  </si>
  <si>
    <t>G477202</t>
  </si>
  <si>
    <t>Detailhandel mit Lederwaren und Reiseartikeln</t>
  </si>
  <si>
    <t>CHE-322.322.842</t>
  </si>
  <si>
    <t>Druckerei Greub + Fuhrer GmbH</t>
  </si>
  <si>
    <t>CHE-166.166.196</t>
  </si>
  <si>
    <t>blumatech Beteiligungen AG</t>
  </si>
  <si>
    <t>c/o blumatech ag</t>
  </si>
  <si>
    <t>CHE-102.102.649</t>
  </si>
  <si>
    <t>Häny</t>
  </si>
  <si>
    <t>Farbgasse 24</t>
  </si>
  <si>
    <t>CHE-103.103.349</t>
  </si>
  <si>
    <t>Peter Wyss</t>
  </si>
  <si>
    <t>Hauptstrasse 15</t>
  </si>
  <si>
    <t>CHE-369.369.827</t>
  </si>
  <si>
    <t>Maleratelier Rodriguez</t>
  </si>
  <si>
    <t>CHE-163.163.205</t>
  </si>
  <si>
    <t>TOK Productions GmbH</t>
  </si>
  <si>
    <t>CHE-248.248.434</t>
  </si>
  <si>
    <t>HAIR ENERGY Franziska Rieder</t>
  </si>
  <si>
    <t>CHE-114.114.649</t>
  </si>
  <si>
    <t>Microwaterjet AG</t>
  </si>
  <si>
    <t>CHE-339.339.447</t>
  </si>
  <si>
    <t>Le Collier Joël Acker</t>
  </si>
  <si>
    <t>CHE-107.107.353</t>
  </si>
  <si>
    <t>Franz Schär</t>
  </si>
  <si>
    <t>S952300</t>
  </si>
  <si>
    <t>Reparatur von Schuhen und Lederwaren</t>
  </si>
  <si>
    <t>CHE-166.166.056</t>
  </si>
  <si>
    <t>MAW - Mariotto Art Works</t>
  </si>
  <si>
    <t>Hof 9</t>
  </si>
  <si>
    <t>CHE-112.112.871</t>
  </si>
  <si>
    <t>Millennium Computers Res Derendinger</t>
  </si>
  <si>
    <t>CHE-107.107.667</t>
  </si>
  <si>
    <t>Jürg Zürcher</t>
  </si>
  <si>
    <t>CHE-219.219.058</t>
  </si>
  <si>
    <t>amaLama Tanja Burkolter</t>
  </si>
  <si>
    <t>HOME FOR LIFE AG</t>
  </si>
  <si>
    <t>Fischer Group Holding AG</t>
  </si>
  <si>
    <t>Birkenweg 19</t>
  </si>
  <si>
    <t>CHE-112.112.485</t>
  </si>
  <si>
    <t>I. Barcsa Carfahrten</t>
  </si>
  <si>
    <t>Vogelsangweg 14</t>
  </si>
  <si>
    <t>CHE-359.359.173</t>
  </si>
  <si>
    <t>awesomedia Märki</t>
  </si>
  <si>
    <t>Stämpfligasse 8</t>
  </si>
  <si>
    <t>foto haefeli</t>
  </si>
  <si>
    <t>CHE-113.113.270</t>
  </si>
  <si>
    <t>astwerk baumpflege, erni &amp; gysin</t>
  </si>
  <si>
    <t>CHE-112.112.161</t>
  </si>
  <si>
    <t>Flückiger Mechanik</t>
  </si>
  <si>
    <t>Badmattstrasse 6 b</t>
  </si>
  <si>
    <t>DMS GmbH</t>
  </si>
  <si>
    <t>Untergasse 23</t>
  </si>
  <si>
    <t>CHE-202.202.280</t>
  </si>
  <si>
    <t>TQV AUDIT AG</t>
  </si>
  <si>
    <t>CHE-112.112.585</t>
  </si>
  <si>
    <t>Physiotherapie Barbara Meyer-Kohler</t>
  </si>
  <si>
    <t>Ringstrasse 31</t>
  </si>
  <si>
    <t>CHE-383.383.302</t>
  </si>
  <si>
    <t>Enermore GmbH</t>
  </si>
  <si>
    <t>CHE-295.295.154</t>
  </si>
  <si>
    <t>a3 Betonpumpen AG</t>
  </si>
  <si>
    <t>Fenchackerweg 6</t>
  </si>
  <si>
    <t>F439904</t>
  </si>
  <si>
    <t>Vermietung von Baumaschinen und –geräten mit Bedienungspersonal</t>
  </si>
  <si>
    <t>CHE-115.115.430</t>
  </si>
  <si>
    <t>SAMOT premium HOLDING AG</t>
  </si>
  <si>
    <t>CHE-113.113.382</t>
  </si>
  <si>
    <t>Ceraswiss Schmid</t>
  </si>
  <si>
    <t>Sonnenrainweg 7</t>
  </si>
  <si>
    <t>CHE-116.116.994</t>
  </si>
  <si>
    <t>Blumengeschäft und Gärtnerei Sommer</t>
  </si>
  <si>
    <t>Bänackerstrasse 20</t>
  </si>
  <si>
    <t>CHE-290.290.935</t>
  </si>
  <si>
    <t>Alox ONE GmbH</t>
  </si>
  <si>
    <t>CHE-398.398.689</t>
  </si>
  <si>
    <t>Schoio AG</t>
  </si>
  <si>
    <t>Dorfgasse 81</t>
  </si>
  <si>
    <t>CHE-369.369.607</t>
  </si>
  <si>
    <t>Strub Bau AG</t>
  </si>
  <si>
    <t>c/o René Marc Strub</t>
  </si>
  <si>
    <t>Untersteckholzstrasse 49</t>
  </si>
  <si>
    <t>CHE-113.113.335</t>
  </si>
  <si>
    <t>concepts &amp; concepts, Orlando Martinelli</t>
  </si>
  <si>
    <t>Industrieweg 3</t>
  </si>
  <si>
    <t>CHE-108.108.720</t>
  </si>
  <si>
    <t>Holzbau Hummel &amp; Rikli</t>
  </si>
  <si>
    <t>Stadthof 5 b</t>
  </si>
  <si>
    <t>CHE-114.114.876</t>
  </si>
  <si>
    <t>Lüthisan.ch Sanitäre Anlagen Thomas Lüthi</t>
  </si>
  <si>
    <t>CHE-263.263.084</t>
  </si>
  <si>
    <t>wabrooh Atelier Airbrush &amp; Lackierung D. Wanner</t>
  </si>
  <si>
    <t>Bettenhausenstrasse 26</t>
  </si>
  <si>
    <t>CHE-405.405.169</t>
  </si>
  <si>
    <t>CHE-199.199.055</t>
  </si>
  <si>
    <t>Sagibach Immobilien AG</t>
  </si>
  <si>
    <t>CHE-359.359.164</t>
  </si>
  <si>
    <t>Bracher Services GmbH</t>
  </si>
  <si>
    <t>CHE-327.327.628</t>
  </si>
  <si>
    <t>Schneeberger Baugeschäft AG</t>
  </si>
  <si>
    <t>Bernstrasse 63</t>
  </si>
  <si>
    <t>CHE-179.179.625</t>
  </si>
  <si>
    <t>Unicorn Selection AG</t>
  </si>
  <si>
    <t>Stelliweg 9</t>
  </si>
  <si>
    <t>CHE-109.109.152</t>
  </si>
  <si>
    <t>Stomech AG</t>
  </si>
  <si>
    <t>Industriering 1</t>
  </si>
  <si>
    <t>CHE-110.110.050</t>
  </si>
  <si>
    <t>Stiftung Sonnegg Huttwil</t>
  </si>
  <si>
    <t>Hohlenstrasse 4a</t>
  </si>
  <si>
    <t>CHE-110.110.254</t>
  </si>
  <si>
    <t>Negri Architektur und Partner AG</t>
  </si>
  <si>
    <t>Murgenthalstrasse 30N</t>
  </si>
  <si>
    <t>CHE-114.114.308</t>
  </si>
  <si>
    <t>VIVINO, Inhaberin Victoria Bringolf</t>
  </si>
  <si>
    <t>CHE-107.107.958</t>
  </si>
  <si>
    <t>Stucki Daniel</t>
  </si>
  <si>
    <t>CHE-112.112.204</t>
  </si>
  <si>
    <t>ARUM GmbH</t>
  </si>
  <si>
    <t>Turmhubelweg 2</t>
  </si>
  <si>
    <t>M711102</t>
  </si>
  <si>
    <t>Raumplanungsbüros</t>
  </si>
  <si>
    <t>CHE-101.101.241</t>
  </si>
  <si>
    <t>Grütter GmbH Hufschmiede und Metallbau</t>
  </si>
  <si>
    <t>CHE-113.113.799</t>
  </si>
  <si>
    <t>KMU-Dienste Krenger</t>
  </si>
  <si>
    <t>CHE-112.112.625</t>
  </si>
  <si>
    <t>Horisberger Dienstleistungs-Partner</t>
  </si>
  <si>
    <t>CHE-101.101.434</t>
  </si>
  <si>
    <t>Allround Service, Adrian &amp; Ruth Huber-Oesch</t>
  </si>
  <si>
    <t>Oberdorfstrasse 69</t>
  </si>
  <si>
    <t>CHE-108.108.719</t>
  </si>
  <si>
    <t>Corporate Advice and Management Services AG</t>
  </si>
  <si>
    <t>c/o M. und J. R. Cornillie</t>
  </si>
  <si>
    <t>CHE-168.168.979</t>
  </si>
  <si>
    <t>Simmply - Pietro Bisanti</t>
  </si>
  <si>
    <t>Thörigenstrasse 57a</t>
  </si>
  <si>
    <t>CHE-115.115.235</t>
  </si>
  <si>
    <t>Tatort Kochschule Doris Weibel-Egli</t>
  </si>
  <si>
    <t>Vorstadt 13</t>
  </si>
  <si>
    <t>CHE-110.110.371</t>
  </si>
  <si>
    <t>Himmelblau GmbH</t>
  </si>
  <si>
    <t>CHE-115.115.701</t>
  </si>
  <si>
    <t>Schneider Galvano Holding AG</t>
  </si>
  <si>
    <t>c/o Schneider Galvano AG</t>
  </si>
  <si>
    <t>CHE-294.294.729</t>
  </si>
  <si>
    <t>Praxis Dr. Mathieu AG</t>
  </si>
  <si>
    <t>Bahnhofstrasse 43</t>
  </si>
  <si>
    <t>CHE-114.114.428</t>
  </si>
  <si>
    <t>Wick Gartenpflege</t>
  </si>
  <si>
    <t>Kreuzfeldstrasse 69</t>
  </si>
  <si>
    <t>CHE-100.100.830</t>
  </si>
  <si>
    <t>Andreas Wagner AG</t>
  </si>
  <si>
    <t>CHE-359.359.762</t>
  </si>
  <si>
    <t>solarreiniger meister</t>
  </si>
  <si>
    <t>N812202</t>
  </si>
  <si>
    <t>Spezielle Reinigung von Gebäuden und Reinigung von Maschinen</t>
  </si>
  <si>
    <t>CHE-116.116.269</t>
  </si>
  <si>
    <t>Praxis Regenbogen Lehmann</t>
  </si>
  <si>
    <t>Buchenweg 2</t>
  </si>
  <si>
    <t>CHE-108.108.887</t>
  </si>
  <si>
    <t>Küng Consulting</t>
  </si>
  <si>
    <t>Ruetistrasse 8</t>
  </si>
  <si>
    <t>CHE-107.107.066</t>
  </si>
  <si>
    <t>Ulrich Troesch</t>
  </si>
  <si>
    <t>Wynaustrasse 7</t>
  </si>
  <si>
    <t>CHE-113.113.397</t>
  </si>
  <si>
    <t>Christoph Wenger Haustechnik</t>
  </si>
  <si>
    <t>Oberdorfstrasse 20</t>
  </si>
  <si>
    <t>CHE-338.338.350</t>
  </si>
  <si>
    <t>Minder Architecture</t>
  </si>
  <si>
    <t>Weststrasse 10</t>
  </si>
  <si>
    <t>CHE-180.180.897</t>
  </si>
  <si>
    <t>Praxis Gruppe Wangen an der Aare AG</t>
  </si>
  <si>
    <t>CHE-114.114.780</t>
  </si>
  <si>
    <t>Stiftung Lindenhof Langenthal</t>
  </si>
  <si>
    <t>Ringstrasse 25</t>
  </si>
  <si>
    <t>FRANZ SCHALLER AG</t>
  </si>
  <si>
    <t>CHE-415.415.206</t>
  </si>
  <si>
    <t>Stiftung pro Haslibrunnen</t>
  </si>
  <si>
    <t>c/o Haslibrunnen AG</t>
  </si>
  <si>
    <t>CHE-107.107.049</t>
  </si>
  <si>
    <t>Preiss</t>
  </si>
  <si>
    <t>CHE-107.107.749</t>
  </si>
  <si>
    <t>Carrosserie Grossen</t>
  </si>
  <si>
    <t>Hofmattstrasse 12a</t>
  </si>
  <si>
    <t>CHE-110.110.279</t>
  </si>
  <si>
    <t>m. stauffer gmbh</t>
  </si>
  <si>
    <t>Wangenstrasse 23</t>
  </si>
  <si>
    <t>CHE-104.104.668</t>
  </si>
  <si>
    <t>Werner &amp; Werner Bauhandwerk GmbH</t>
  </si>
  <si>
    <t>Talstrasse 10</t>
  </si>
  <si>
    <t>CHE-101.101.335</t>
  </si>
  <si>
    <t>Karl Anliker AG</t>
  </si>
  <si>
    <t>CHE-101.101.431</t>
  </si>
  <si>
    <t>Roth Bauspenglerei</t>
  </si>
  <si>
    <t>CHE-494.494.411</t>
  </si>
  <si>
    <t>Mathys Feinmechanik AG</t>
  </si>
  <si>
    <t>Industriestrasse 41</t>
  </si>
  <si>
    <t>CHE-312.312.224</t>
  </si>
  <si>
    <t>DEVISOL AG</t>
  </si>
  <si>
    <t>CHE-102.102.824</t>
  </si>
  <si>
    <t>Blues Beiz Manuela Brügger</t>
  </si>
  <si>
    <t>Scharnagelnstrasse 20</t>
  </si>
  <si>
    <t>CHE-457.457.501</t>
  </si>
  <si>
    <t>RSC Business GmbH</t>
  </si>
  <si>
    <t>CHE-217.217.725</t>
  </si>
  <si>
    <t>Immoverwalter NSJ GmbH</t>
  </si>
  <si>
    <t>Bosslochweg 36</t>
  </si>
  <si>
    <t>CHE-435.435.738</t>
  </si>
  <si>
    <t>Kessler Montage</t>
  </si>
  <si>
    <t>Aarwangenstrasse 41</t>
  </si>
  <si>
    <t>CHE-113.113.877</t>
  </si>
  <si>
    <t>D. Anderegg Kilchenmann</t>
  </si>
  <si>
    <t>Städtli 6</t>
  </si>
  <si>
    <t>CHE-161.161.059</t>
  </si>
  <si>
    <t>LEB GLAS CH, Inh. Beluli</t>
  </si>
  <si>
    <t>CHE-134.134.827</t>
  </si>
  <si>
    <t>Brem Data</t>
  </si>
  <si>
    <t>Rufshausenstrasse 18</t>
  </si>
  <si>
    <t>CHE-379.379.582</t>
  </si>
  <si>
    <t>MediService Felber GmbH</t>
  </si>
  <si>
    <t>CHE-398.398.971</t>
  </si>
  <si>
    <t>HEIDI NIEDERHAUSER, KAFI HEIDI</t>
  </si>
  <si>
    <t>Grüttstrasse 10</t>
  </si>
  <si>
    <t>Rüedisbach</t>
  </si>
  <si>
    <t>CHE-429.429.801</t>
  </si>
  <si>
    <t>Ihr Partner für Finanzdienstleistungen, Bekteshi Faton</t>
  </si>
  <si>
    <t>Chlyrotstrasse 8</t>
  </si>
  <si>
    <t>CHE-389.389.975</t>
  </si>
  <si>
    <t>CrossFit FortyNineZero B. Gloor</t>
  </si>
  <si>
    <t>CHE-485.485.567</t>
  </si>
  <si>
    <t>AS Auto Moto Sales GmbH</t>
  </si>
  <si>
    <t>Haldenstrasse 72</t>
  </si>
  <si>
    <t>CHE-278.278.146</t>
  </si>
  <si>
    <t>Scheiber's</t>
  </si>
  <si>
    <t>CHE-257.257.839</t>
  </si>
  <si>
    <t>Gasthof Neuhüsli; Inhaber Hans Marc Fiechter</t>
  </si>
  <si>
    <t>Lotzwilstrasse 36</t>
  </si>
  <si>
    <t>CHE-155.155.432</t>
  </si>
  <si>
    <t>Investment Expert GmbH</t>
  </si>
  <si>
    <t>CHE-146.146.220</t>
  </si>
  <si>
    <t>Meerwasser-Shop Csako</t>
  </si>
  <si>
    <t>Röthenbachstrasse 13</t>
  </si>
  <si>
    <t>Alessandra Ryser-Schöni</t>
  </si>
  <si>
    <t>CHE-389.389.102</t>
  </si>
  <si>
    <t>WOLEG AG</t>
  </si>
  <si>
    <t>Q879002</t>
  </si>
  <si>
    <t>Erziehungsheime</t>
  </si>
  <si>
    <t>Restaurant Hirschen, Höffernig Andreas</t>
  </si>
  <si>
    <t>Röthenbachstrasse 12</t>
  </si>
  <si>
    <t>CHE-332.332.511</t>
  </si>
  <si>
    <t>cutrade Bruno Kneubühler</t>
  </si>
  <si>
    <t>CHE-113.113.301</t>
  </si>
  <si>
    <t>Pink Style Hairdesign Ruffiner &amp; Spada</t>
  </si>
  <si>
    <t>CHE-112.112.792</t>
  </si>
  <si>
    <t>Brauerei Napf GmbH</t>
  </si>
  <si>
    <t>Dorf 74 J</t>
  </si>
  <si>
    <t>CHE-112.112.414</t>
  </si>
  <si>
    <t>Automalerei R. Probst</t>
  </si>
  <si>
    <t>CHE-110.110.645</t>
  </si>
  <si>
    <t>Garage Alois Stampfli</t>
  </si>
  <si>
    <t>Buchlistrasse 1</t>
  </si>
  <si>
    <t>CHE-110.110.618</t>
  </si>
  <si>
    <t>Zaugg GmbH Heizungen und Installationen</t>
  </si>
  <si>
    <t>CHE-110.110.030</t>
  </si>
  <si>
    <t>Lasttrans AG</t>
  </si>
  <si>
    <t>CHE-109.109.966</t>
  </si>
  <si>
    <t>intefo ag</t>
  </si>
  <si>
    <t>CHE-109.109.359</t>
  </si>
  <si>
    <t>Eggimann Heinz AG</t>
  </si>
  <si>
    <t>Feldmoos 405 A</t>
  </si>
  <si>
    <t>Malergeschäft Alexander Steiner</t>
  </si>
  <si>
    <t>Kohlplatzstrasse 25</t>
  </si>
  <si>
    <t>CHE-108.108.295</t>
  </si>
  <si>
    <t>Geiser &amp; Schmutz AG, Aarwangen</t>
  </si>
  <si>
    <t>Langenthalstrasse 69</t>
  </si>
  <si>
    <t>Aarwangenstrasse 91</t>
  </si>
  <si>
    <t>CHE-108.108.218</t>
  </si>
  <si>
    <t>SBS Bike Accessories, Dietmar Schlug</t>
  </si>
  <si>
    <t>Dennliweg 24</t>
  </si>
  <si>
    <t>Vollständige Liste online ansehen</t>
  </si>
  <si>
    <t>Unterer Falkenweg 11</t>
  </si>
  <si>
    <t>CHE-314.314.062</t>
  </si>
  <si>
    <t>Bero &amp; Co. GmbH</t>
  </si>
  <si>
    <t>CHE-104.104.931</t>
  </si>
  <si>
    <t>Egger Gipsergeschäft</t>
  </si>
  <si>
    <t>Efeuweg 1</t>
  </si>
  <si>
    <t>CHE-138.138.463</t>
  </si>
  <si>
    <t>ALLO-Capital KlG</t>
  </si>
  <si>
    <t>CHE-233.233.046</t>
  </si>
  <si>
    <t>CHE-147.147.191</t>
  </si>
  <si>
    <t>HQG GmbH</t>
  </si>
  <si>
    <t>CHE-451.451.516</t>
  </si>
  <si>
    <t>Barceli GmbH</t>
  </si>
  <si>
    <t>Hohleweg 3</t>
  </si>
  <si>
    <t>CHE-237.237.870</t>
  </si>
  <si>
    <t>BIH Beteiligungs- und Immobilien Holding AG</t>
  </si>
  <si>
    <t>CHE-429.429.273</t>
  </si>
  <si>
    <t>E Rama</t>
  </si>
  <si>
    <t>Bäreggstrasse 63</t>
  </si>
  <si>
    <t>CHE-406.406.237</t>
  </si>
  <si>
    <t>Ezekiel Engineering Katassou</t>
  </si>
  <si>
    <t>Meiniswilstr. 19</t>
  </si>
  <si>
    <t>CHE-228.228.030</t>
  </si>
  <si>
    <t>Haari-Rohrbach GmbH</t>
  </si>
  <si>
    <t>Lengacker 9</t>
  </si>
  <si>
    <t>CHE-499.499.170</t>
  </si>
  <si>
    <t>Nadja Röthlisberger, Praxis Raum und Zeit</t>
  </si>
  <si>
    <t>Unterdorfstrasse 11</t>
  </si>
  <si>
    <t>unterer Falkenweg 11</t>
  </si>
  <si>
    <t>CHE-492.492.551</t>
  </si>
  <si>
    <t>vectora gmbh</t>
  </si>
  <si>
    <t>CHE-495.495.207</t>
  </si>
  <si>
    <t>bt management group gmbh</t>
  </si>
  <si>
    <t>Bläuenstein AG Infrastruktur</t>
  </si>
  <si>
    <t>bm_link</t>
  </si>
  <si>
    <t>Rüttistaldenstrasse 33</t>
  </si>
  <si>
    <t>Mühleweg 14</t>
  </si>
  <si>
    <t>CHE-464.464.570</t>
  </si>
  <si>
    <t>Vathius GmbH</t>
  </si>
  <si>
    <t>CHE-135.135.891</t>
  </si>
  <si>
    <t>M. Petermann Transport</t>
  </si>
  <si>
    <t>Bernstrasse 73</t>
  </si>
  <si>
    <t>CHE-319.319.850</t>
  </si>
  <si>
    <t>RD Car Trading Inh. Radosavljevic</t>
  </si>
  <si>
    <t>CHE-240.240.705</t>
  </si>
  <si>
    <t>Aare Garage Qerimi</t>
  </si>
  <si>
    <t>Kanalweg 3</t>
  </si>
  <si>
    <t>GIMABAU GmbH</t>
  </si>
  <si>
    <t>Neustrasse 18</t>
  </si>
  <si>
    <t>CHE-242.242.563</t>
  </si>
  <si>
    <t>Gruner Immobilien</t>
  </si>
  <si>
    <t>CHE-425.425.677</t>
  </si>
  <si>
    <t>RiBa Immobilien GmbH</t>
  </si>
  <si>
    <t>Lagerstrasse 12E</t>
  </si>
  <si>
    <t>C301200</t>
  </si>
  <si>
    <t>Boots- und Yachtbau</t>
  </si>
  <si>
    <t>DIE KRAFT DER NATUR LTD, Stockport, Zweigniederlassung Farnern</t>
  </si>
  <si>
    <t>CHE-476.476.567</t>
  </si>
  <si>
    <t>RL Gebäudeunterhalt GmbH</t>
  </si>
  <si>
    <t>CHE-329.329.189</t>
  </si>
  <si>
    <t>Root Food GmbH</t>
  </si>
  <si>
    <t>Talstrasse 14</t>
  </si>
  <si>
    <t>CHE-262.262.610</t>
  </si>
  <si>
    <t>Kurt Berchtold Elektro GmbH</t>
  </si>
  <si>
    <t>CHE-132.132.018</t>
  </si>
  <si>
    <t>Smart Immobilien AG</t>
  </si>
  <si>
    <t>CHE-294.294.121</t>
  </si>
  <si>
    <t>BENI EXPORT GmbH</t>
  </si>
  <si>
    <t>c/o Emal Hamidi</t>
  </si>
  <si>
    <t>Nuemattweg 6</t>
  </si>
  <si>
    <t>CHE-348.348.471</t>
  </si>
  <si>
    <t>LüTec Mechanik P. Lüthi</t>
  </si>
  <si>
    <t>Seilerstrasse 27</t>
  </si>
  <si>
    <t>Eriswilstrasse 14</t>
  </si>
  <si>
    <t>Hypernova GmbH</t>
  </si>
  <si>
    <t>CHE-344.344.771</t>
  </si>
  <si>
    <t>Wertwandler GmbH</t>
  </si>
  <si>
    <t>c/o Rudolf Gysi und Monika Imhof</t>
  </si>
  <si>
    <t>Murmeliweg 2+4</t>
  </si>
  <si>
    <t>CHE-490.490.526</t>
  </si>
  <si>
    <t>Tschui Informatik</t>
  </si>
  <si>
    <t>Schmiedeweg 1</t>
  </si>
  <si>
    <t>Untersteckholzstrasse 35</t>
  </si>
  <si>
    <t>CHE-153.153.097</t>
  </si>
  <si>
    <t>MiaMalina Inh. Claudia Kobler</t>
  </si>
  <si>
    <t>Eigerweg 3</t>
  </si>
  <si>
    <t>Waldeckstrasse 4F</t>
  </si>
  <si>
    <t>CHE-367.367.331</t>
  </si>
  <si>
    <t>VINNIA GMBH</t>
  </si>
  <si>
    <t>CHE-319.319.325</t>
  </si>
  <si>
    <t>Tay kocht Inh. Praiwan Dätwyler</t>
  </si>
  <si>
    <t>Kleinholz 12</t>
  </si>
  <si>
    <t>CHE-441.441.078</t>
  </si>
  <si>
    <t>Eiche Holding AG</t>
  </si>
  <si>
    <t>CHE-199.199.457</t>
  </si>
  <si>
    <t>ANY Holding AG</t>
  </si>
  <si>
    <t>c/o Rainer Jermann</t>
  </si>
  <si>
    <t>Höhenweg 34</t>
  </si>
  <si>
    <t>CHE-375.375.445</t>
  </si>
  <si>
    <t>Drive 3 GmbH Fahrschulcenter Langenthal</t>
  </si>
  <si>
    <t>Zieglersträsschen 7A</t>
  </si>
  <si>
    <t>Murgenthalstrasse 6</t>
  </si>
  <si>
    <t>CHE-254.254.928</t>
  </si>
  <si>
    <t>Burkhalter Malerei GmbH</t>
  </si>
  <si>
    <t>CHE-235.235.918</t>
  </si>
  <si>
    <t>MCLB GmbH</t>
  </si>
  <si>
    <t>c/o Dr. Markus Christian Lienhard</t>
  </si>
  <si>
    <t>Kirchweg 3</t>
  </si>
  <si>
    <t>CHE-165.165.404</t>
  </si>
  <si>
    <t>Simi &amp; Partner GmbH</t>
  </si>
  <si>
    <t>CHE-399.399.586</t>
  </si>
  <si>
    <t>Praxis Pusteblume Seiler</t>
  </si>
  <si>
    <t>CHE-449.449.839</t>
  </si>
  <si>
    <t>MONTINARO</t>
  </si>
  <si>
    <t>Friedaustrasse 1</t>
  </si>
  <si>
    <t>Hasenmattstrasse 39A</t>
  </si>
  <si>
    <t>Rainstrasse 25</t>
  </si>
  <si>
    <t>Winkelstrasse 40</t>
  </si>
  <si>
    <t>CHE-495.495.212</t>
  </si>
  <si>
    <t>WorkflowCommander GmbH</t>
  </si>
  <si>
    <t>c/o Valentin Kappenthuler</t>
  </si>
  <si>
    <t>CHE-220.220.857</t>
  </si>
  <si>
    <t>VEVEK GMBH</t>
  </si>
  <si>
    <t>CHE-497.497.839</t>
  </si>
  <si>
    <t>swiss sourcing.group AG</t>
  </si>
  <si>
    <t>Baugenossenschaft Aarwangen</t>
  </si>
  <si>
    <t>Nyfarm Technik AG</t>
  </si>
  <si>
    <t>Holzprofil AG</t>
  </si>
  <si>
    <t>CHE-342.342.608</t>
  </si>
  <si>
    <t>Larep Holding AG</t>
  </si>
  <si>
    <t>c/o Larep Garage AG</t>
  </si>
  <si>
    <t>CHE-445.445.132</t>
  </si>
  <si>
    <t>Wuhrpolsterei, Yasmine Stegemann</t>
  </si>
  <si>
    <t>Alens one Beslic</t>
  </si>
  <si>
    <t>Langenthalstrasse 58</t>
  </si>
  <si>
    <t>Kohlplatzstrasse 32</t>
  </si>
  <si>
    <t>CHE-443.443.266</t>
  </si>
  <si>
    <t>Coiffeur Langenthal, Inhaber Mejed Omar</t>
  </si>
  <si>
    <t>CHE-314.314.927</t>
  </si>
  <si>
    <t>Gyger Spezialholzerei GmbH</t>
  </si>
  <si>
    <t>Oberer Siedlungsweg 4</t>
  </si>
  <si>
    <t>CHE-315.315.180</t>
  </si>
  <si>
    <t>Finanzatelier GmbH</t>
  </si>
  <si>
    <t>CHE-287.287.874</t>
  </si>
  <si>
    <t>Sara's Grill KLG</t>
  </si>
  <si>
    <t>St. Urbanstrasse 37</t>
  </si>
  <si>
    <t>c/o W. u. H. Schneider AG</t>
  </si>
  <si>
    <t>CHE-301.301.673</t>
  </si>
  <si>
    <t>Reset Thinking GmbH</t>
  </si>
  <si>
    <t>c/o Bruno Habegger</t>
  </si>
  <si>
    <t>CHE-357.357.092</t>
  </si>
  <si>
    <t>Kantholz GmbH</t>
  </si>
  <si>
    <t>CHE-437.437.296</t>
  </si>
  <si>
    <t>Aliece GmbH</t>
  </si>
  <si>
    <t>CHE-254.254.696</t>
  </si>
  <si>
    <t>Hebammenpraxis Linn Winterhalder</t>
  </si>
  <si>
    <t>Beundenstrasse 3</t>
  </si>
  <si>
    <t>Q869004</t>
  </si>
  <si>
    <t>Aktivitäten der Hebammen</t>
  </si>
  <si>
    <t>CHE-190.190.045</t>
  </si>
  <si>
    <t>Seppeler Holding Schweiz AG</t>
  </si>
  <si>
    <t>CHE-453.453.975</t>
  </si>
  <si>
    <t>Dakawo Natur- und Wildnisschule Daniel Kamber</t>
  </si>
  <si>
    <t>CHE-444.444.121</t>
  </si>
  <si>
    <t>HBL Galli AG</t>
  </si>
  <si>
    <t>c/o Markus und Anita Galli</t>
  </si>
  <si>
    <t>Schwalbenweg 9</t>
  </si>
  <si>
    <t>BW Langenthal GmbH</t>
  </si>
  <si>
    <t>CHE-456.456.536</t>
  </si>
  <si>
    <t>Stiftung Rulyando</t>
  </si>
  <si>
    <t>CHE-144.144.613</t>
  </si>
  <si>
    <t>circumflex ag</t>
  </si>
  <si>
    <t>CHE-277.277.202</t>
  </si>
  <si>
    <t>SLM Holding AG</t>
  </si>
  <si>
    <t>Dorfgasse 31</t>
  </si>
  <si>
    <t>CHE-252.252.184</t>
  </si>
  <si>
    <t>Coiffeur Profi Abdullah</t>
  </si>
  <si>
    <t>CHE-413.413.617</t>
  </si>
  <si>
    <t>motorholics GmbH</t>
  </si>
  <si>
    <t>Oberdorf 64a</t>
  </si>
  <si>
    <t>CHE-291.291.315</t>
  </si>
  <si>
    <t>Alpwirtschaft vordere Schmiedenmatt, Scheidegger KLG</t>
  </si>
  <si>
    <t>Schmiedenmattstrasse 44</t>
  </si>
  <si>
    <t>CHE-189.189.465</t>
  </si>
  <si>
    <t>FS Allround GmbH</t>
  </si>
  <si>
    <t>CHE-193.193.678</t>
  </si>
  <si>
    <t>Innovision GmbH</t>
  </si>
  <si>
    <t>CHE-232.232.722</t>
  </si>
  <si>
    <t>Schweizerisches Institut für öffentliches Management GmbH</t>
  </si>
  <si>
    <t>CHE-414.414.530</t>
  </si>
  <si>
    <t>Immo Tietz GmbH</t>
  </si>
  <si>
    <t>Melchnaustrasse 2</t>
  </si>
  <si>
    <t>CHE-355.355.048</t>
  </si>
  <si>
    <t>Business Division Schweiz AG</t>
  </si>
  <si>
    <t>CHE-321.321.784</t>
  </si>
  <si>
    <t>TSE Holding AG</t>
  </si>
  <si>
    <t>c/o Edith und William Trösch-Meier</t>
  </si>
  <si>
    <t>Ringstrasse 44</t>
  </si>
  <si>
    <t>CHE-408.408.482</t>
  </si>
  <si>
    <t>Christoph Frei GmbH</t>
  </si>
  <si>
    <t>Fritz Zürcher GmbH</t>
  </si>
  <si>
    <t>Eriswilstrasse 48b</t>
  </si>
  <si>
    <t>CHE-306.306.845</t>
  </si>
  <si>
    <t>JELA GmbH</t>
  </si>
  <si>
    <t>CHE-297.297.987</t>
  </si>
  <si>
    <t>Ärzte &amp; Gesundheitszentren Oberaargau AG</t>
  </si>
  <si>
    <t>CHE-172.172.282</t>
  </si>
  <si>
    <t>Fuchsart Irene Fuchs Dutly</t>
  </si>
  <si>
    <t>Stadthausstrasse 3</t>
  </si>
  <si>
    <t>CHE-354.354.519</t>
  </si>
  <si>
    <t>Denis Gashi Service</t>
  </si>
  <si>
    <t>Waldgasse 18</t>
  </si>
  <si>
    <t>CHE-319.319.469</t>
  </si>
  <si>
    <t>Oberlimatte AG Wohn- und Familienbegleitung</t>
  </si>
  <si>
    <t>CHE-441.441.556</t>
  </si>
  <si>
    <t>Cantina BRUSA KLG</t>
  </si>
  <si>
    <t>c/o Bruno und Karin Habegger</t>
  </si>
  <si>
    <t>Walkeweg 6</t>
  </si>
  <si>
    <t>Städtli 15</t>
  </si>
  <si>
    <t>CHE-244.244.013</t>
  </si>
  <si>
    <t>Wunschbeck GmbH</t>
  </si>
  <si>
    <t>Industriestrasse 30</t>
  </si>
  <si>
    <t>Hasenmattstrasse 7</t>
  </si>
  <si>
    <t>CHE-314.314.834</t>
  </si>
  <si>
    <t>StuCo Holding GmbH</t>
  </si>
  <si>
    <t>c/o Hanspeter Stucker</t>
  </si>
  <si>
    <t>CHE-243.243.711</t>
  </si>
  <si>
    <t>Stiftung Schloss Aarwangen</t>
  </si>
  <si>
    <t>Jurastrasse 90</t>
  </si>
  <si>
    <t>CHE-461.461.699</t>
  </si>
  <si>
    <t>Rundum Holzbau GmbH</t>
  </si>
  <si>
    <t>CHE-283.283.563</t>
  </si>
  <si>
    <t>Jennifer Ridyard Consulting</t>
  </si>
  <si>
    <t>Eigerweg 16</t>
  </si>
  <si>
    <t>CHE-431.431.824</t>
  </si>
  <si>
    <t>marema Holding AG</t>
  </si>
  <si>
    <t>CHE-191.191.884</t>
  </si>
  <si>
    <t>Dorfgasse 60E</t>
  </si>
  <si>
    <t>CHE-330.330.692</t>
  </si>
  <si>
    <t>Wynistorf Sanitär und Heizung GmbH</t>
  </si>
  <si>
    <t>CHE-343.343.067</t>
  </si>
  <si>
    <t>Pinelands GmbH</t>
  </si>
  <si>
    <t>c/o P'INC. AG</t>
  </si>
  <si>
    <t>Putztüüfeli Hostettler GmbH</t>
  </si>
  <si>
    <t>CHE-310.310.063</t>
  </si>
  <si>
    <t>Gilgen Commerce</t>
  </si>
  <si>
    <t>c/o Marcel Gilgen</t>
  </si>
  <si>
    <t>Oenzgasse 8</t>
  </si>
  <si>
    <t>CHE-386.386.214</t>
  </si>
  <si>
    <t>Arztpraxis Lichthof AG</t>
  </si>
  <si>
    <t>Ringstrasse 23</t>
  </si>
  <si>
    <t>c/o Jakob Scheidegger</t>
  </si>
  <si>
    <t>Widisberg 10</t>
  </si>
  <si>
    <t>CHE-180.180.735</t>
  </si>
  <si>
    <t>CHE-103.103.411</t>
  </si>
  <si>
    <t>Wäfler Consulting GmbH</t>
  </si>
  <si>
    <t>GXO LOGISTICS SWITZERLAND S.A.G.L.</t>
  </si>
  <si>
    <t>CHE-370.370.040</t>
  </si>
  <si>
    <t>Kleintiere Schweiz AG</t>
  </si>
  <si>
    <t>CHE-481.481.114</t>
  </si>
  <si>
    <t>David Müller Garten und Umgebung</t>
  </si>
  <si>
    <t>Melchnaustrasse 28c</t>
  </si>
  <si>
    <t>CHE-399.399.789</t>
  </si>
  <si>
    <t>Flösch 16</t>
  </si>
  <si>
    <t>Oberer Sängelenweg 4</t>
  </si>
  <si>
    <t>CHE-449.449.824</t>
  </si>
  <si>
    <t>ilumo GmbH</t>
  </si>
  <si>
    <t>Geissgraben 25</t>
  </si>
  <si>
    <t>CHE-323.323.955</t>
  </si>
  <si>
    <t>Cascina Affolter</t>
  </si>
  <si>
    <t>CHE-262.262.683</t>
  </si>
  <si>
    <t>Life-Concept Cornelia Gerber</t>
  </si>
  <si>
    <t>CHE-339.339.964</t>
  </si>
  <si>
    <t>Stella Langenthal GmbH</t>
  </si>
  <si>
    <t>Fortuna Zwahlen GmbH</t>
  </si>
  <si>
    <t>Dorf 33A</t>
  </si>
  <si>
    <t>CHE-341.341.880</t>
  </si>
  <si>
    <t>ZM Bauplan GmbH</t>
  </si>
  <si>
    <t>CHE-197.197.415</t>
  </si>
  <si>
    <t>Finanzplanung Gehriger GmbH</t>
  </si>
  <si>
    <t>CHE-109.109.452</t>
  </si>
  <si>
    <t>BAU MANN Peter Baumann</t>
  </si>
  <si>
    <t>Untergasse 4</t>
  </si>
  <si>
    <t>CHE-287.287.161</t>
  </si>
  <si>
    <t>JKD Immobilien AG</t>
  </si>
  <si>
    <t>c/o Josef und Katharina Durrer-Kopp</t>
  </si>
  <si>
    <t>M426 Systems GmbH</t>
  </si>
  <si>
    <t>CHE-246.246.040</t>
  </si>
  <si>
    <t>Aellix Wohngemeinschaft</t>
  </si>
  <si>
    <t>CHE-141.141.703</t>
  </si>
  <si>
    <t>Bergrestaurant Buechmatt KLG</t>
  </si>
  <si>
    <t>Buechmattstrasse 11</t>
  </si>
  <si>
    <t>CHE-130.130.690</t>
  </si>
  <si>
    <t>Zeller Landtechnik GmbH</t>
  </si>
  <si>
    <t>CHE-409.409.261</t>
  </si>
  <si>
    <t>dach GmbH</t>
  </si>
  <si>
    <t>c/o Christine und Daniel Bircher</t>
  </si>
  <si>
    <t>Schützenstrasse 17a</t>
  </si>
  <si>
    <t>CHE-256.256.910</t>
  </si>
  <si>
    <t>jemo GmbH</t>
  </si>
  <si>
    <t>c/o Monika und Jens Weimar</t>
  </si>
  <si>
    <t>Bänackerstrasse 8a</t>
  </si>
  <si>
    <t>CHE-323.323.398</t>
  </si>
  <si>
    <t>Lisa-Marie Kurth Photography</t>
  </si>
  <si>
    <t>Felsenweg 15</t>
  </si>
  <si>
    <t>CHE-363.363.361</t>
  </si>
  <si>
    <t>M. Canova GmbH</t>
  </si>
  <si>
    <t>CHE-173.173.534</t>
  </si>
  <si>
    <t>Vitamin Bildung GmbH</t>
  </si>
  <si>
    <t>Stierenweidweg 18</t>
  </si>
  <si>
    <t>JothisLogistik GmbH</t>
  </si>
  <si>
    <t>CHE-302.302.589</t>
  </si>
  <si>
    <t>Maiz Latino Inh. Sanchez Dias</t>
  </si>
  <si>
    <t>Roggenweg 3</t>
  </si>
  <si>
    <t>CHE-188.188.761</t>
  </si>
  <si>
    <t>ZULAUF Solution GmbH</t>
  </si>
  <si>
    <t>Oberdorf 91</t>
  </si>
  <si>
    <t>CHE-436.436.215</t>
  </si>
  <si>
    <t>Kundenmetzgerei und Landwirtschaft Roth, Inhaber Roland Roth</t>
  </si>
  <si>
    <t>Frauchigeneuhus 103</t>
  </si>
  <si>
    <t>CHE-179.179.346</t>
  </si>
  <si>
    <t>Simec Service GmbH</t>
  </si>
  <si>
    <t>c/o Elmar Heribert Lupberger</t>
  </si>
  <si>
    <t>CHE-200.200.853</t>
  </si>
  <si>
    <t>Werkstatt und Lohnarbeiten Reber</t>
  </si>
  <si>
    <t>Abilon 2</t>
  </si>
  <si>
    <t>Langenthaler Bierbrauerei Mosimann</t>
  </si>
  <si>
    <t>CHE-272.272.629</t>
  </si>
  <si>
    <t>Craniosacrale Osteopathie Haas</t>
  </si>
  <si>
    <t>A4Web Langenthaler.ch Schweizerinnen.ch Preprocessor.ch Agenda-Manager Lützenberger</t>
  </si>
  <si>
    <t>CHE-424.424.735</t>
  </si>
  <si>
    <t>Riki Truck GmbH</t>
  </si>
  <si>
    <t>CHE-454.454.403</t>
  </si>
  <si>
    <t>Phusila Thai Massage Inh. Sopha Bieri</t>
  </si>
  <si>
    <t>Untere Dürrmühlestrasse 26</t>
  </si>
  <si>
    <t>CHE-209.209.431</t>
  </si>
  <si>
    <t>Edelglanz Swiss Shabani</t>
  </si>
  <si>
    <t>Wangenstrasse 65</t>
  </si>
  <si>
    <t>CHE-244.244.515</t>
  </si>
  <si>
    <t>Schero Holzhandwerk GmbH</t>
  </si>
  <si>
    <t>Brunnenstrasse 8</t>
  </si>
  <si>
    <t>CHE-490.490.413</t>
  </si>
  <si>
    <t>DAMELUMA KLG</t>
  </si>
  <si>
    <t>Sonnhalde 29</t>
  </si>
  <si>
    <t>CHE-155.155.359</t>
  </si>
  <si>
    <t>Massage Wynistorf GmbH</t>
  </si>
  <si>
    <t>CHE-268.268.184</t>
  </si>
  <si>
    <t>Vogel's Dienstleistungen</t>
  </si>
  <si>
    <t>Bleienbachstrasse 34</t>
  </si>
  <si>
    <t>CHE-401.401.947</t>
  </si>
  <si>
    <t>Dietrich's Hobbyschuppen</t>
  </si>
  <si>
    <t>CHE-394.394.483</t>
  </si>
  <si>
    <t>FCS Solutions GmbH</t>
  </si>
  <si>
    <t>Weihergasse 5</t>
  </si>
  <si>
    <t>CHE-147.147.984</t>
  </si>
  <si>
    <t>SB Automobile GmbH</t>
  </si>
  <si>
    <t>CHE-257.257.720</t>
  </si>
  <si>
    <t>A way of life GmbH</t>
  </si>
  <si>
    <t>Dorfstrasse 44</t>
  </si>
  <si>
    <t>CHE-373.373.419</t>
  </si>
  <si>
    <t>Svela the tea and taste company GmbH</t>
  </si>
  <si>
    <t>c/o Peter Dettwiler</t>
  </si>
  <si>
    <t>Kirchgasse 2</t>
  </si>
  <si>
    <t>Rüttimattstrasse 10</t>
  </si>
  <si>
    <t>Horriwil</t>
  </si>
  <si>
    <t>c/o Hans Anderegg</t>
  </si>
  <si>
    <t>Holen 36</t>
  </si>
  <si>
    <t>Weihergasse 6</t>
  </si>
  <si>
    <t>CHE-281.281.773</t>
  </si>
  <si>
    <t>Schaub Metalworks GmbH</t>
  </si>
  <si>
    <t>Länggasse 53</t>
  </si>
  <si>
    <t>CHE-346.346.735</t>
  </si>
  <si>
    <t>Physiotherapie Schrimpf GmbH</t>
  </si>
  <si>
    <t>CHE-344.344.138</t>
  </si>
  <si>
    <t>CHE-115.115.857</t>
  </si>
  <si>
    <t>CHE-166.166.435</t>
  </si>
  <si>
    <t>Holenweg - Tech</t>
  </si>
  <si>
    <t>Tschäppel 1</t>
  </si>
  <si>
    <t>CHE-352.352.822</t>
  </si>
  <si>
    <t>Marianne Biedermann Bürinne Choscht</t>
  </si>
  <si>
    <t>Belzerengässli 2</t>
  </si>
  <si>
    <t>CHE-429.429.759</t>
  </si>
  <si>
    <t>Schallenberger flexWorker</t>
  </si>
  <si>
    <t>Untergasse 7</t>
  </si>
  <si>
    <t>CHE-462.462.561</t>
  </si>
  <si>
    <t>Creation Coaching &amp; Mentoring GmbH</t>
  </si>
  <si>
    <t>Oberdorfweg 24</t>
  </si>
  <si>
    <t>CHE-248.248.968</t>
  </si>
  <si>
    <t>SCHWEIZERISCHE MOBILIAR Versicherungsgesellschaft, Generalagentur Langenthal, Valérie Bodenmüller</t>
  </si>
  <si>
    <t>CHE-383.383.153</t>
  </si>
  <si>
    <t>Rotboden 2</t>
  </si>
  <si>
    <t>CHE-147.147.626</t>
  </si>
  <si>
    <t>Boss Ranch GmbH</t>
  </si>
  <si>
    <t>CHE-192.192.320</t>
  </si>
  <si>
    <t>BFTEC Holding AG</t>
  </si>
  <si>
    <t>CHE-250.250.207</t>
  </si>
  <si>
    <t>Swiss Quality Software GmbH</t>
  </si>
  <si>
    <t>CHE-426.426.131</t>
  </si>
  <si>
    <t>Reparaturwerkstatt Sommer GmbH</t>
  </si>
  <si>
    <t>Bützbergstrasse 13A</t>
  </si>
  <si>
    <t>CHE-253.253.152</t>
  </si>
  <si>
    <t>Oldag Baumanagement</t>
  </si>
  <si>
    <t>BAGGER.CH AG</t>
  </si>
  <si>
    <t>Wangenstrasse 100A</t>
  </si>
  <si>
    <t>CHE-172.172.514</t>
  </si>
  <si>
    <t>sing GmbH</t>
  </si>
  <si>
    <t>c/o Renate und Simon Jost-Hess</t>
  </si>
  <si>
    <t>Weidweg 14</t>
  </si>
  <si>
    <t>CHE-248.248.524</t>
  </si>
  <si>
    <t>JWR Consulting GmbH</t>
  </si>
  <si>
    <t>CHE-436.436.519</t>
  </si>
  <si>
    <t>Autogarage Tsako Inh. Tmusic</t>
  </si>
  <si>
    <t>Wangenstrasse 12A</t>
  </si>
  <si>
    <t>CHE-140.140.075</t>
  </si>
  <si>
    <t>Office de vérification des poids et mesures BE+4 - Schärer</t>
  </si>
  <si>
    <t>Sarangi GmbH</t>
  </si>
  <si>
    <t>CHE-455.455.022</t>
  </si>
  <si>
    <t>Dütschi 6b</t>
  </si>
  <si>
    <t>CHE-427.427.394</t>
  </si>
  <si>
    <t>Mai Seiler</t>
  </si>
  <si>
    <t>Waldhofstrasse 17</t>
  </si>
  <si>
    <t>CHE-496.496.073</t>
  </si>
  <si>
    <t>Autogarage Michel GmbH</t>
  </si>
  <si>
    <t>Toggiburgstrasse 14a</t>
  </si>
  <si>
    <t>CHE-113.113.257</t>
  </si>
  <si>
    <t>werkstark GmbH</t>
  </si>
  <si>
    <t>Jolanda Realini Wahlen Coaching</t>
  </si>
  <si>
    <t>Brunngasse 21</t>
  </si>
  <si>
    <t>CHE-401.401.546</t>
  </si>
  <si>
    <t>Landstromer GmbH</t>
  </si>
  <si>
    <t>CHE-300.300.916</t>
  </si>
  <si>
    <t>Rüegg Maler und Gipser GmbH</t>
  </si>
  <si>
    <t>Oberer Schmittenweg 27</t>
  </si>
  <si>
    <t>Hogerrütiweg 5</t>
  </si>
  <si>
    <t>CHE-374.374.036</t>
  </si>
  <si>
    <t>CHE-463.463.556</t>
  </si>
  <si>
    <t>Jakob Generalunternehmung GmbH</t>
  </si>
  <si>
    <t>HP Lanz Immobilien AG</t>
  </si>
  <si>
    <t>ssg immobilien AG</t>
  </si>
  <si>
    <t>c/o Trikora AG</t>
  </si>
  <si>
    <t>Allmendstrasse 6</t>
  </si>
  <si>
    <t>CHE-498.498.141</t>
  </si>
  <si>
    <t>Brautmodenhaus Schwarzhäusern Wyss</t>
  </si>
  <si>
    <t>Baselstrasse 22</t>
  </si>
  <si>
    <t>CHE-447.447.240</t>
  </si>
  <si>
    <t>D&amp;A GmbH</t>
  </si>
  <si>
    <t>CHE-498.498.065</t>
  </si>
  <si>
    <t>Ruckstuhl Bestattungen AG</t>
  </si>
  <si>
    <t>CHE-207.207.330</t>
  </si>
  <si>
    <t>pgal AG</t>
  </si>
  <si>
    <t>c/o Peter Gerber und Alice Leuenberger</t>
  </si>
  <si>
    <t>Allmendweg 21</t>
  </si>
  <si>
    <t>CHE-431.431.327</t>
  </si>
  <si>
    <t>Fondation Horizons</t>
  </si>
  <si>
    <t>Anwälte &amp; Notare im Oberaargau AG</t>
  </si>
  <si>
    <t>Höhenweg 29</t>
  </si>
  <si>
    <t>c/o Fritz Zehnder</t>
  </si>
  <si>
    <t>Tanngraben 10</t>
  </si>
  <si>
    <t>CHE-132.132.629</t>
  </si>
  <si>
    <t>Plotschie AG</t>
  </si>
  <si>
    <t>Waldeggweg 4</t>
  </si>
  <si>
    <t>CHE-315.315.943</t>
  </si>
  <si>
    <t>Ryf Holding GmbH</t>
  </si>
  <si>
    <t>Sägesser Motorgeräte</t>
  </si>
  <si>
    <t>CHE-423.423.079</t>
  </si>
  <si>
    <t>Bipper Beck Inh. Strub Michel</t>
  </si>
  <si>
    <t>NewBorn Capital AG</t>
  </si>
  <si>
    <t>CHE-303.303.915</t>
  </si>
  <si>
    <t>Andres Küchen Langenthal AG</t>
  </si>
  <si>
    <t>KELLER 6.17 AG</t>
  </si>
  <si>
    <t>CHE-170.170.918</t>
  </si>
  <si>
    <t>Propax GmbH</t>
  </si>
  <si>
    <t>CHE-442.442.795</t>
  </si>
  <si>
    <t>chopfarbeit GmbH</t>
  </si>
  <si>
    <t>Aarwangenstrasse 72</t>
  </si>
  <si>
    <t>CHE-451.451.257</t>
  </si>
  <si>
    <t>Janso GmbH</t>
  </si>
  <si>
    <t>Rosenweg 15</t>
  </si>
  <si>
    <t>CHE-442.442.057</t>
  </si>
  <si>
    <t>Fondation Rehema</t>
  </si>
  <si>
    <t>CHE-152.152.409</t>
  </si>
  <si>
    <t>Beschrifterei Thomas Probst GmbH</t>
  </si>
  <si>
    <t>Dorfstrasse 32</t>
  </si>
  <si>
    <t>Perrelet Immobilien AG</t>
  </si>
  <si>
    <t>Oenzbergstrasse 16</t>
  </si>
  <si>
    <t>Flückiger Log-Plan, Logistik und Planungen</t>
  </si>
  <si>
    <t>Kleinroth 3</t>
  </si>
  <si>
    <t>CHE-358.358.657</t>
  </si>
  <si>
    <t>Illumy GmbH</t>
  </si>
  <si>
    <t>Cholbettistrasse 16</t>
  </si>
  <si>
    <t>CHE-214.214.380</t>
  </si>
  <si>
    <t>Fondation Transmettre</t>
  </si>
  <si>
    <t>c/o BDO AG</t>
  </si>
  <si>
    <t>CHE-149.149.862</t>
  </si>
  <si>
    <t>Kämpf Allrounder GmbH</t>
  </si>
  <si>
    <t>Hitzenberg 27</t>
  </si>
  <si>
    <t>CHE-408.408.016</t>
  </si>
  <si>
    <t>Praxis Dr. Zwanzger GmbH</t>
  </si>
  <si>
    <t>CHE-101.101.330</t>
  </si>
  <si>
    <t>Verein Historische Eisenbahn Emmental (VHE)</t>
  </si>
  <si>
    <t>c/o Markus Herrmann</t>
  </si>
  <si>
    <t>Bahnhofstrasse 44d</t>
  </si>
  <si>
    <t>CHE-109.109.743</t>
  </si>
  <si>
    <t>Tischkultur AG</t>
  </si>
  <si>
    <t>Städtli 11</t>
  </si>
  <si>
    <t>CHE-172.172.032</t>
  </si>
  <si>
    <t>X-tec Eventtechnik GmbH</t>
  </si>
  <si>
    <t>Solothurnstrasse 30</t>
  </si>
  <si>
    <t>CHE-343.343.353</t>
  </si>
  <si>
    <t>Bidahunga's Qeristore</t>
  </si>
  <si>
    <t>Bleienbachstrasse 19A</t>
  </si>
  <si>
    <t>CHE-301.301.966</t>
  </si>
  <si>
    <t>SN Agrar-Mechanik GmbH</t>
  </si>
  <si>
    <t>c/o Matthias Schneeberger</t>
  </si>
  <si>
    <t>Grunholzweid 175</t>
  </si>
  <si>
    <t>CHE-350.350.479</t>
  </si>
  <si>
    <t>Nazmi Shillova</t>
  </si>
  <si>
    <t>Mumenthalstrasse 39c</t>
  </si>
  <si>
    <t>CHE-363.363.916</t>
  </si>
  <si>
    <t>Brestenegg Alp GmbH</t>
  </si>
  <si>
    <t>c/o Fritz Beer</t>
  </si>
  <si>
    <t>Ryschboden 30</t>
  </si>
  <si>
    <t>CHE-390.390.362</t>
  </si>
  <si>
    <t>zweikwerk gmbh</t>
  </si>
  <si>
    <t>CHE-115.115.902</t>
  </si>
  <si>
    <t>Jan La Porte Haus- Garten- &amp; Wäschepflege</t>
  </si>
  <si>
    <t>CHE-187.187.695</t>
  </si>
  <si>
    <t>Bucher &amp; Wyss GmbH</t>
  </si>
  <si>
    <t>G477201</t>
  </si>
  <si>
    <t>Detailhandel mit Schuhen</t>
  </si>
  <si>
    <t>Schmiedeweg 4</t>
  </si>
  <si>
    <t>Creanova Bau GmbH</t>
  </si>
  <si>
    <t>CHE-108.108.165</t>
  </si>
  <si>
    <t>Niklaus Schär, Wirtschafts- und Sozialgestaltung</t>
  </si>
  <si>
    <t>Murgenthalstrasse 30P</t>
  </si>
  <si>
    <t>CHE-250.250.065</t>
  </si>
  <si>
    <t>Aura Fitness DT GmbH</t>
  </si>
  <si>
    <t>CHE-223.223.726</t>
  </si>
  <si>
    <t>Giulio Stefano GmbH</t>
  </si>
  <si>
    <t>CHE-467.467.639</t>
  </si>
  <si>
    <t>Dore der Handwerker</t>
  </si>
  <si>
    <t>CHE-231.231.659</t>
  </si>
  <si>
    <t>Fondation Impulsions</t>
  </si>
  <si>
    <t>CHE-292.292.581</t>
  </si>
  <si>
    <t>CHE-424.424.392</t>
  </si>
  <si>
    <t>aspectiva GmbH</t>
  </si>
  <si>
    <t>CHE-487.487.800</t>
  </si>
  <si>
    <t>Krekora Luft-Klima-Technik</t>
  </si>
  <si>
    <t>Bergstrasse 3</t>
  </si>
  <si>
    <t>CHE-304.304.771</t>
  </si>
  <si>
    <t>Plattenleger Retzo</t>
  </si>
  <si>
    <t>Dorf 74a</t>
  </si>
  <si>
    <t>CHE-430.430.090</t>
  </si>
  <si>
    <t>CHE-100.100.702</t>
  </si>
  <si>
    <t>star line service holding GmbH</t>
  </si>
  <si>
    <t>J639900</t>
  </si>
  <si>
    <t>Erbringung von sonstigen Informationsdienstleistungen a. n. g.</t>
  </si>
  <si>
    <t>CHE-329.329.054</t>
  </si>
  <si>
    <t>metzgerei-beugger gmbh</t>
  </si>
  <si>
    <t>CHE-260.260.080</t>
  </si>
  <si>
    <t>Fondation Romains11.36</t>
  </si>
  <si>
    <t>CHE-110.110.274</t>
  </si>
  <si>
    <t>Ergotherapie Markus Schüpbach GmbH</t>
  </si>
  <si>
    <t>CHE-194.194.926</t>
  </si>
  <si>
    <t>CHE-136.136.762</t>
  </si>
  <si>
    <t>Florian Käser Holzbau</t>
  </si>
  <si>
    <t>CHE-142.142.207</t>
  </si>
  <si>
    <t>Fondation Elpo</t>
  </si>
  <si>
    <t>Hofen 117B</t>
  </si>
  <si>
    <t>AVR Immobilien GmbH</t>
  </si>
  <si>
    <t>CHE-469.469.771</t>
  </si>
  <si>
    <t>JJ Kiosk Shop Kanavathipillai</t>
  </si>
  <si>
    <t>CHE-216.216.957</t>
  </si>
  <si>
    <t>FOKUS image, Tanja Räber</t>
  </si>
  <si>
    <t>Unterholzstrasse 50</t>
  </si>
  <si>
    <t>Duma Glas AG</t>
  </si>
  <si>
    <t>CHE-179.179.722</t>
  </si>
  <si>
    <t>Ingold-Hof GmbH</t>
  </si>
  <si>
    <t>Bolkenstrasse 9</t>
  </si>
  <si>
    <t>CHE-448.448.913</t>
  </si>
  <si>
    <t>Rytz Romeo Holding GmbH</t>
  </si>
  <si>
    <t>CHE-343.343.148</t>
  </si>
  <si>
    <t>Swiss Lift Solution GmbH</t>
  </si>
  <si>
    <t>CHE-323.323.042</t>
  </si>
  <si>
    <t>LLIONTECH GmbH</t>
  </si>
  <si>
    <t>Birchstrasse 20</t>
  </si>
  <si>
    <t>CHE-299.299.244</t>
  </si>
  <si>
    <t>Fondation Lantana</t>
  </si>
  <si>
    <t>CHE-467.467.950</t>
  </si>
  <si>
    <t>Lighthouse Engineering GmbH</t>
  </si>
  <si>
    <t>CHE-415.415.390</t>
  </si>
  <si>
    <t>Polozhani Bohr GmbH</t>
  </si>
  <si>
    <t>WURZEL Verlag GmbH</t>
  </si>
  <si>
    <t>Schultheissenstrasse 2A</t>
  </si>
  <si>
    <t>c/o Bracher und Partner Recht AG</t>
  </si>
  <si>
    <t>CHE-490.490.636</t>
  </si>
  <si>
    <t>Fondation Honorer</t>
  </si>
  <si>
    <t>Steingasse 20a</t>
  </si>
  <si>
    <t>CHE-214.214.913</t>
  </si>
  <si>
    <t>Burger Bau, Inh. Roman Burger Lysonek</t>
  </si>
  <si>
    <t>CHE-495.495.123</t>
  </si>
  <si>
    <t>Avantgarde Dienste GmbH</t>
  </si>
  <si>
    <t>Waldhofstrasse 46</t>
  </si>
  <si>
    <t>CHE-431.431.100</t>
  </si>
  <si>
    <t>Caynova Holding AG</t>
  </si>
  <si>
    <t>c/o Caynova AG</t>
  </si>
  <si>
    <t>CHE-157.157.981</t>
  </si>
  <si>
    <t>Bella Piu Cosmetic Inh. Adamo</t>
  </si>
  <si>
    <t>CHE-384.384.952</t>
  </si>
  <si>
    <t>Roth Forst GmbH</t>
  </si>
  <si>
    <t>Mavris Spyridon, Dynamic Im-Export</t>
  </si>
  <si>
    <t>Schulhausstrasse 7a</t>
  </si>
  <si>
    <t>CHE-152.152.011</t>
  </si>
  <si>
    <t>CHE-294.294.382</t>
  </si>
  <si>
    <t>Steinackerweg 14</t>
  </si>
  <si>
    <t>CHE-152.152.132</t>
  </si>
  <si>
    <t>KaYlife Immos AG</t>
  </si>
  <si>
    <t>CHE-206.206.585</t>
  </si>
  <si>
    <t>Zwahlen Immobilien GmbH</t>
  </si>
  <si>
    <t>Badmattstrasse 6B</t>
  </si>
  <si>
    <t>CHE-317.317.795</t>
  </si>
  <si>
    <t>panrep GmbH</t>
  </si>
  <si>
    <t>CHE-262.262.044</t>
  </si>
  <si>
    <t>R&amp;V Store GmbH</t>
  </si>
  <si>
    <t>CHE-166.166.847</t>
  </si>
  <si>
    <t>Stiftung Kinder- und Juniorenfussball Langenthal</t>
  </si>
  <si>
    <t>Waldhofstrasse 13</t>
  </si>
  <si>
    <t>CHE-105.105.645</t>
  </si>
  <si>
    <t>Geiger Maschinenbau AG</t>
  </si>
  <si>
    <t>CHE-373.373.903</t>
  </si>
  <si>
    <t>Fondation Koinonia</t>
  </si>
  <si>
    <t>QUBAG Fahrzeugbau AG</t>
  </si>
  <si>
    <t>Industriestrasse 18</t>
  </si>
  <si>
    <t>CHE-360.360.685</t>
  </si>
  <si>
    <t>M. Schär GmbH</t>
  </si>
  <si>
    <t>Mühleweg 16B</t>
  </si>
  <si>
    <t>CHE-251.251.496</t>
  </si>
  <si>
    <t>Roth Gruner GmbH</t>
  </si>
  <si>
    <t>c/o Notariat und Advokatur David Gruner</t>
  </si>
  <si>
    <t>Baselstrasse 1</t>
  </si>
  <si>
    <t>CHE-251.251.298</t>
  </si>
  <si>
    <t>Aura Fitness MT GmbH</t>
  </si>
  <si>
    <t>CHE-237.237.023</t>
  </si>
  <si>
    <t>Oliver Gafner Advokatur &amp; Notariat AG</t>
  </si>
  <si>
    <t>CHE-466.466.901</t>
  </si>
  <si>
    <t>Ärztehuus Buchsi AG</t>
  </si>
  <si>
    <t>CHE-383.383.430</t>
  </si>
  <si>
    <t>CHE-263.263.755</t>
  </si>
  <si>
    <t>Connect Tech GmbH</t>
  </si>
  <si>
    <t>CHE-456.456.318</t>
  </si>
  <si>
    <t>DMK Transport GmbH</t>
  </si>
  <si>
    <t>Hagenbuchenweg 7</t>
  </si>
  <si>
    <t>CHE-370.370.860</t>
  </si>
  <si>
    <t>Gerber Gärten AG</t>
  </si>
  <si>
    <t>CHE-338.338.771</t>
  </si>
  <si>
    <t>Schlosserei Steffen GmbH Wyssachen</t>
  </si>
  <si>
    <t>Mösli 305</t>
  </si>
  <si>
    <t>CHE-481.481.760</t>
  </si>
  <si>
    <t>Whirlpool Geiser GmbH</t>
  </si>
  <si>
    <t>Langenthalstrasse 54</t>
  </si>
  <si>
    <t>CHE-419.419.039</t>
  </si>
  <si>
    <t>Juchoose GmbH</t>
  </si>
  <si>
    <t>CHE-335.335.023</t>
  </si>
  <si>
    <t>Porzi GmbH</t>
  </si>
  <si>
    <t>CHE-444.444.080</t>
  </si>
  <si>
    <t>Wrapfabrik by Kai Frenzel</t>
  </si>
  <si>
    <t>CHE-450.450.026</t>
  </si>
  <si>
    <t>Gaswerkstrasse 13</t>
  </si>
  <si>
    <t>Brotheiteri 186</t>
  </si>
  <si>
    <t>CHE-442.442.584</t>
  </si>
  <si>
    <t>Bastlerei Buchsi GmbH</t>
  </si>
  <si>
    <t>Thörigenstrasse 6</t>
  </si>
  <si>
    <t>CHE-295.295.394</t>
  </si>
  <si>
    <t>Mein Baser Inh. S. Dayan</t>
  </si>
  <si>
    <t>CHE-495.495.512</t>
  </si>
  <si>
    <t>Bernhard Architektur GmbH</t>
  </si>
  <si>
    <t>Käsershausgasse 19</t>
  </si>
  <si>
    <t>Römisch-Katholische Kirchenstiftung Oberaargau</t>
  </si>
  <si>
    <t>CHE-182.182.290</t>
  </si>
  <si>
    <t>Schwarz Forstunternehmung AG</t>
  </si>
  <si>
    <t>CHE-444.444.648</t>
  </si>
  <si>
    <t>KIBE Region Huttwil AG</t>
  </si>
  <si>
    <t>Spitalstrasse 53</t>
  </si>
  <si>
    <t>Bürodüse, Kessler</t>
  </si>
  <si>
    <t>CHE-354.354.615</t>
  </si>
  <si>
    <t>Timber Grizzlys GmbH</t>
  </si>
  <si>
    <t>Melchnaustrasse 36f</t>
  </si>
  <si>
    <t>CHE-216.216.738</t>
  </si>
  <si>
    <t>Hölzlistrasse 1</t>
  </si>
  <si>
    <t>c/o Edmond Kodraj</t>
  </si>
  <si>
    <t>Blüemlismattstrasse 20</t>
  </si>
  <si>
    <t>Äusserer Gsteigweg 20</t>
  </si>
  <si>
    <t>CHE-208.208.411</t>
  </si>
  <si>
    <t>CHE-338.338.628</t>
  </si>
  <si>
    <t>RCVersicherungen KMG</t>
  </si>
  <si>
    <t>Rindermattweg 18</t>
  </si>
  <si>
    <t>CHE-436.436.216</t>
  </si>
  <si>
    <t>PolyOffica GmbH</t>
  </si>
  <si>
    <t>CHE-496.496.390</t>
  </si>
  <si>
    <t>Cordari Büroservice</t>
  </si>
  <si>
    <t>Holzhäusernstrasse 37</t>
  </si>
  <si>
    <t>Marktgasse 39</t>
  </si>
  <si>
    <t>Hardmattweg 17</t>
  </si>
  <si>
    <t>CHE-114.114.994</t>
  </si>
  <si>
    <t>WashTec AG</t>
  </si>
  <si>
    <t>Stockackerweg 14</t>
  </si>
  <si>
    <t>Baselstrasse 32E</t>
  </si>
  <si>
    <t>Eschler Fahrzeugbau AG Wiedlisbach</t>
  </si>
  <si>
    <t>Taubenrainweg 4a</t>
  </si>
  <si>
    <t>CHE-355.355.302</t>
  </si>
  <si>
    <t>Marti Care</t>
  </si>
  <si>
    <t>CHE-388.388.034</t>
  </si>
  <si>
    <t>Pura Mindair GmbH</t>
  </si>
  <si>
    <t>CHE-358.358.137</t>
  </si>
  <si>
    <t>Roch Custom Cycles</t>
  </si>
  <si>
    <t>Güschel 3</t>
  </si>
  <si>
    <t>CHE-266.266.954</t>
  </si>
  <si>
    <t>Imbi-Service GmbH</t>
  </si>
  <si>
    <t>CHE-233.233.324</t>
  </si>
  <si>
    <t>Mohnblume Blumenatelier Christine Sägesser</t>
  </si>
  <si>
    <t>Weidgasse 15a</t>
  </si>
  <si>
    <t>Waldgasse 24</t>
  </si>
  <si>
    <t>CHE-349.349.030</t>
  </si>
  <si>
    <t>La Bottega Di Giuseppe Pietrobono</t>
  </si>
  <si>
    <t>Weyermattstrasse 7</t>
  </si>
  <si>
    <t>CHE-313.313.411</t>
  </si>
  <si>
    <t>Entfalten GmbH</t>
  </si>
  <si>
    <t>Buechwaldweg 5</t>
  </si>
  <si>
    <t>CHE-245.245.011</t>
  </si>
  <si>
    <t>Hockey Huttwil AG</t>
  </si>
  <si>
    <t>c/o Campus Perspektiven AG</t>
  </si>
  <si>
    <t>CHE-367.367.159</t>
  </si>
  <si>
    <t>C+H TREUHAND SWISS GmbH</t>
  </si>
  <si>
    <t>Wangenstrasse 49</t>
  </si>
  <si>
    <t>CHE-308.308.173</t>
  </si>
  <si>
    <t>Gül Handel</t>
  </si>
  <si>
    <t>Wangenstrasse 4b</t>
  </si>
  <si>
    <t>CHE-131.131.068</t>
  </si>
  <si>
    <t>Berchtold-Fonds</t>
  </si>
  <si>
    <t>c/o Therese Kreder-Berchtold</t>
  </si>
  <si>
    <t>CHE-456.456.208</t>
  </si>
  <si>
    <t>Garage Aerni GmbH</t>
  </si>
  <si>
    <t>CHE-156.156.908</t>
  </si>
  <si>
    <t>Celtra Food Production GmbH</t>
  </si>
  <si>
    <t>Ringstrasse 26</t>
  </si>
  <si>
    <t>CHE-239.239.426</t>
  </si>
  <si>
    <t>Städtli Kebap und Pizza Farhad</t>
  </si>
  <si>
    <t>Brunnenplatz 18</t>
  </si>
  <si>
    <t>CHE-482.482.003</t>
  </si>
  <si>
    <t>wingsofsoul nadine cimeli</t>
  </si>
  <si>
    <t>Rötiweg 3</t>
  </si>
  <si>
    <t>CHE-429.429.344</t>
  </si>
  <si>
    <t>Stop &amp; Go Transport GmbH</t>
  </si>
  <si>
    <t>Solothurnstrasse 57c</t>
  </si>
  <si>
    <t>Fiechtenstrasse 32</t>
  </si>
  <si>
    <t>CHE-115.115.347</t>
  </si>
  <si>
    <t>Mara Eberhard &amp; Partner GmbH</t>
  </si>
  <si>
    <t>Oberberken 6a</t>
  </si>
  <si>
    <t>Ahornweg 7</t>
  </si>
  <si>
    <t>SIGIplus AG</t>
  </si>
  <si>
    <t>CHE-105.105.602</t>
  </si>
  <si>
    <t>Michael Craig Communications</t>
  </si>
  <si>
    <t>CHE-493.493.417</t>
  </si>
  <si>
    <t>Coiffure Hairdream Simon</t>
  </si>
  <si>
    <t>CHE-461.461.886</t>
  </si>
  <si>
    <t>Physiotherapie Brigitte Stark-Mäder</t>
  </si>
  <si>
    <t>Lotzwilstrasse 41</t>
  </si>
  <si>
    <t>CHE-149.149.752</t>
  </si>
  <si>
    <t>smart4it GmbH</t>
  </si>
  <si>
    <t>Steinackerweg 20</t>
  </si>
  <si>
    <t>CHE-393.393.124</t>
  </si>
  <si>
    <t>Chutzi GmbH</t>
  </si>
  <si>
    <t>Unterstrasse 7</t>
  </si>
  <si>
    <t>CHE-136.136.925</t>
  </si>
  <si>
    <t>Känzig Trading</t>
  </si>
  <si>
    <t>CHE-353.353.517</t>
  </si>
  <si>
    <t>Just in time Management GmbH</t>
  </si>
  <si>
    <t>c/o Daniela Urfer</t>
  </si>
  <si>
    <t>Untergasse 31</t>
  </si>
  <si>
    <t>CHE-169.169.487</t>
  </si>
  <si>
    <t>Towbros GmbH</t>
  </si>
  <si>
    <t>H511000</t>
  </si>
  <si>
    <t>Personenbeförderung in der Luftfahrt</t>
  </si>
  <si>
    <t>c/o Heinz Allemann</t>
  </si>
  <si>
    <t>CHE-397.397.828</t>
  </si>
  <si>
    <t>organizedOG rukavina</t>
  </si>
  <si>
    <t>CHE-447.447.849</t>
  </si>
  <si>
    <t>TransformWerkstatt Consulting GmbH</t>
  </si>
  <si>
    <t>CHE-152.152.680</t>
  </si>
  <si>
    <t>Innovel Plan GmbH</t>
  </si>
  <si>
    <t>CHE-115.115.428</t>
  </si>
  <si>
    <t>Hofer, Schriften + Grafik Nachfolger Michael Herzig</t>
  </si>
  <si>
    <t>Schmiedeweg 6</t>
  </si>
  <si>
    <t>CHE-313.313.555</t>
  </si>
  <si>
    <t>Jantra Thai Massage &amp; Spa Raphiphon Müller</t>
  </si>
  <si>
    <t>Käsereistrasse 13</t>
  </si>
  <si>
    <t>Johanniterweg 7</t>
  </si>
  <si>
    <t>CHE-181.181.455</t>
  </si>
  <si>
    <t>JG Solartech GmbH</t>
  </si>
  <si>
    <t>Baselstrasse 32e</t>
  </si>
  <si>
    <t>CHE-497.497.841</t>
  </si>
  <si>
    <t>AnaSimCare GmbH</t>
  </si>
  <si>
    <t>CHE-294.294.774</t>
  </si>
  <si>
    <t>Beck's Management</t>
  </si>
  <si>
    <t>Wyssbach 149</t>
  </si>
  <si>
    <t>CHE-310.310.625</t>
  </si>
  <si>
    <t>Roth Kleingeräte Verkauf und Service</t>
  </si>
  <si>
    <t>C331300</t>
  </si>
  <si>
    <t>Reparatur von elektronischen und optischen Geräten</t>
  </si>
  <si>
    <t>Foyers Allalin GmbH</t>
  </si>
  <si>
    <t>CHE-343.343.298</t>
  </si>
  <si>
    <t>Crocus GmbH</t>
  </si>
  <si>
    <t>Roggenweg 1</t>
  </si>
  <si>
    <t>CHE-408.408.713</t>
  </si>
  <si>
    <t>Bärenweg 14</t>
  </si>
  <si>
    <t>Contix Holding AG</t>
  </si>
  <si>
    <t>CHE-233.233.098</t>
  </si>
  <si>
    <t>Lena Storen GmbH</t>
  </si>
  <si>
    <t>bK Das Atelier Brigitta Kneubühler</t>
  </si>
  <si>
    <t>CHE-495.495.685</t>
  </si>
  <si>
    <t>Kiri Seafood GmbH</t>
  </si>
  <si>
    <t>G472300</t>
  </si>
  <si>
    <t>Detailhandel mit Fisch, Meeresfrüchten und Fischerzeugnissen</t>
  </si>
  <si>
    <t>Dorf 18c</t>
  </si>
  <si>
    <t>CHE-114.114.147</t>
  </si>
  <si>
    <t>Cascana, Miguel Ruepp</t>
  </si>
  <si>
    <t>CHE-295.295.300</t>
  </si>
  <si>
    <t>Baba Pizza Kebab Kurier Catak</t>
  </si>
  <si>
    <t>Zürichstrasse 7</t>
  </si>
  <si>
    <t>CHE-136.136.297</t>
  </si>
  <si>
    <t>ellu GmbH</t>
  </si>
  <si>
    <t>Schwendi 26A</t>
  </si>
  <si>
    <t>Schorenstrasse 5</t>
  </si>
  <si>
    <t>CHE-110.110.479</t>
  </si>
  <si>
    <t>Gerber Production</t>
  </si>
  <si>
    <t>Schulstrasse 36</t>
  </si>
  <si>
    <t>R900303</t>
  </si>
  <si>
    <t>Selbstständige Journalisten</t>
  </si>
  <si>
    <t>CHE-391.391.774</t>
  </si>
  <si>
    <t>SCreinigung und Umzug GmbH</t>
  </si>
  <si>
    <t>c/o Andreas Nyfeler</t>
  </si>
  <si>
    <t>Staldershaus 107</t>
  </si>
  <si>
    <t>CHE-364.364.042</t>
  </si>
  <si>
    <t>tK Autopflege &amp; Allround Service Tim Kneubühler</t>
  </si>
  <si>
    <t>Unterdorfstrasse 22a</t>
  </si>
  <si>
    <t>CHE-455.455.058</t>
  </si>
  <si>
    <t>Trivedis AG</t>
  </si>
  <si>
    <t>CHE-105.105.586</t>
  </si>
  <si>
    <t>Denimpex GmbH</t>
  </si>
  <si>
    <t>G479900</t>
  </si>
  <si>
    <t>Sonstiger Detailhandel, nicht in Verkaufsräumen, an Verkaufsständen oder auf Märkten</t>
  </si>
  <si>
    <t>CHE-458.458.923</t>
  </si>
  <si>
    <t>Begit Homes AG</t>
  </si>
  <si>
    <t>c/o Ulrich Kohler</t>
  </si>
  <si>
    <t>Weibelackerweg 9</t>
  </si>
  <si>
    <t>CHE-434.434.473</t>
  </si>
  <si>
    <t>Nicole Hoock Coaching</t>
  </si>
  <si>
    <t>CHE-359.359.202</t>
  </si>
  <si>
    <t>VEBRO Versicherungsbroker GmbH</t>
  </si>
  <si>
    <t>CHE-318.318.390</t>
  </si>
  <si>
    <t>Story Lab GmbH</t>
  </si>
  <si>
    <t>CHE-454.454.206</t>
  </si>
  <si>
    <t>Yorkshire J&amp;S Beutler GmbH</t>
  </si>
  <si>
    <t>CHE-444.444.266</t>
  </si>
  <si>
    <t>BEREL AG</t>
  </si>
  <si>
    <t>CHE-112.112.510</t>
  </si>
  <si>
    <t>Kleintiere Schweiz</t>
  </si>
  <si>
    <t>CHE-176.176.120</t>
  </si>
  <si>
    <t>Nori's Barber Shop GmbH</t>
  </si>
  <si>
    <t>Herzogstrasse 3</t>
  </si>
  <si>
    <t>Brunnhofstrasse 17</t>
  </si>
  <si>
    <t>CHE-185.185.201</t>
  </si>
  <si>
    <t>Physiotherapie Gouranga, Stefan Teranski</t>
  </si>
  <si>
    <t>CHE-255.255.937</t>
  </si>
  <si>
    <t>Verein Oase</t>
  </si>
  <si>
    <t>Wald 27j</t>
  </si>
  <si>
    <t>Baselstrasse 23b</t>
  </si>
  <si>
    <t>Holzgasse 2</t>
  </si>
  <si>
    <t>Hofmatte 24</t>
  </si>
  <si>
    <t>CHE-266.266.234</t>
  </si>
  <si>
    <t>JaBa's Glanzwerkstatt Anderegg</t>
  </si>
  <si>
    <t>Steingasse 14</t>
  </si>
  <si>
    <t>CHE-460.460.963</t>
  </si>
  <si>
    <t>Sulakshan GmbH</t>
  </si>
  <si>
    <t>Weibelackerweg 1</t>
  </si>
  <si>
    <t>CHE-138.138.679</t>
  </si>
  <si>
    <t>NK Workwear AG</t>
  </si>
  <si>
    <t>Vogelsangweg 33</t>
  </si>
  <si>
    <t>CHE-102.102.717</t>
  </si>
  <si>
    <t>Sevra Suisse AG</t>
  </si>
  <si>
    <t>Pfrundackerweg 4</t>
  </si>
  <si>
    <t>CHE-254.254.609</t>
  </si>
  <si>
    <t>Myoversum Céline Schlatter</t>
  </si>
  <si>
    <t>LUMEOS GmbH</t>
  </si>
  <si>
    <t>CHE-485.485.481</t>
  </si>
  <si>
    <t>Imperial Kitchen24 Alagaratnam</t>
  </si>
  <si>
    <t>Bergstrasse 7</t>
  </si>
  <si>
    <t>CHE-288.288.433</t>
  </si>
  <si>
    <t>Christoph Binggeli</t>
  </si>
  <si>
    <t>Bernerschachen 1</t>
  </si>
  <si>
    <t>CHE-461.461.855</t>
  </si>
  <si>
    <t>Allianz Suisse Generalagentur Remo Krähenbühl</t>
  </si>
  <si>
    <t>CHE-186.186.129</t>
  </si>
  <si>
    <t>GIMA Consulting Mauro</t>
  </si>
  <si>
    <t>CHE-219.219.851</t>
  </si>
  <si>
    <t>Florian Müller GmbH</t>
  </si>
  <si>
    <t>CHE-253.253.641</t>
  </si>
  <si>
    <t>Balsiger Zigarr BB</t>
  </si>
  <si>
    <t>Grundackerweg 5</t>
  </si>
  <si>
    <t>CHE-477.477.120</t>
  </si>
  <si>
    <t>MDC Management GmbH</t>
  </si>
  <si>
    <t>Stiftung Lindenhof Cura Langenthal</t>
  </si>
  <si>
    <t>CHE-131.131.537</t>
  </si>
  <si>
    <t>Biomechanisch korrekt Reiten Florence Polyak</t>
  </si>
  <si>
    <t>Haarpunzel by Michaela von Allmen</t>
  </si>
  <si>
    <t>CHE-182.182.265</t>
  </si>
  <si>
    <t>RSAS AG</t>
  </si>
  <si>
    <t>CHE-331.331.312</t>
  </si>
  <si>
    <t>WM Solution GmbH</t>
  </si>
  <si>
    <t>c/o Gruszka Treuhand GmbH</t>
  </si>
  <si>
    <t>Lindenstrasse 20</t>
  </si>
  <si>
    <t>CHE-214.214.708</t>
  </si>
  <si>
    <t>Santus - swiss GmbH</t>
  </si>
  <si>
    <t>CHE-354.354.675</t>
  </si>
  <si>
    <t>Dogan's GmbH</t>
  </si>
  <si>
    <t>Obere Breite 2</t>
  </si>
  <si>
    <t>Stämpfligasse Immobilien AG</t>
  </si>
  <si>
    <t>CHE-138.138.088</t>
  </si>
  <si>
    <t>Turtly GmbH</t>
  </si>
  <si>
    <t>Mumenthalstrasse 19</t>
  </si>
  <si>
    <t>KalorienReich AG</t>
  </si>
  <si>
    <t>c/o Andrea und Peter Rikli</t>
  </si>
  <si>
    <t>CHE-289.289.508</t>
  </si>
  <si>
    <t>Martin und Peter Eberhard KLG</t>
  </si>
  <si>
    <t>Oberhofweid 82</t>
  </si>
  <si>
    <t>CHE-237.237.090</t>
  </si>
  <si>
    <t>Erli Transporte GmbH</t>
  </si>
  <si>
    <t>CHE-301.301.696</t>
  </si>
  <si>
    <t>LH Swiss GmbH</t>
  </si>
  <si>
    <t>CHE-147.147.524</t>
  </si>
  <si>
    <t>Lernoase</t>
  </si>
  <si>
    <t>Oberfeldweg 22</t>
  </si>
  <si>
    <t>CHE-357.357.177</t>
  </si>
  <si>
    <t>Sarah's mobile Fusspflege, Inh. Hasler</t>
  </si>
  <si>
    <t>Schulhausstrasse 34</t>
  </si>
  <si>
    <t>CHE-247.247.037</t>
  </si>
  <si>
    <t>RK Kiosk Shop Mahadevan</t>
  </si>
  <si>
    <t>CHE-413.413.916</t>
  </si>
  <si>
    <t>KaSoft GmbH</t>
  </si>
  <si>
    <t>Bergstrasse 12</t>
  </si>
  <si>
    <t>CHE-423.423.182</t>
  </si>
  <si>
    <t>Le &amp; Li 2022 GmbH</t>
  </si>
  <si>
    <t>St. Urbanstrasse 39</t>
  </si>
  <si>
    <t>CHE-261.261.010</t>
  </si>
  <si>
    <t>WT Christen AG</t>
  </si>
  <si>
    <t>CHE-175.175.493</t>
  </si>
  <si>
    <t>CHE-312.312.011</t>
  </si>
  <si>
    <t>FMS Solutions GmbH</t>
  </si>
  <si>
    <t>c/o Stefan Frefel</t>
  </si>
  <si>
    <t>Heidenmoosstrasse 40</t>
  </si>
  <si>
    <t>CHE-271.271.576</t>
  </si>
  <si>
    <t>Reber Auto Händler GmbH</t>
  </si>
  <si>
    <t>Oberfeldstrasse 23</t>
  </si>
  <si>
    <t>c/o Sonja Zumbihl</t>
  </si>
  <si>
    <t>Flückigen 48</t>
  </si>
  <si>
    <t>CHE-110.110.968</t>
  </si>
  <si>
    <t>amateco gmbh</t>
  </si>
  <si>
    <t>CHE-363.363.757</t>
  </si>
  <si>
    <t>Pizza Express Niederbipp / Inh. Kaya Caner</t>
  </si>
  <si>
    <t>CHE-487.487.740</t>
  </si>
  <si>
    <t>Herzenpflegen Regula Knobel Buchmann</t>
  </si>
  <si>
    <t>Rumiweg 17o</t>
  </si>
  <si>
    <t>CHE-168.168.925</t>
  </si>
  <si>
    <t>CHE-326.326.925</t>
  </si>
  <si>
    <t>Atelier Opak - Inh. Fabienne Wüthrich</t>
  </si>
  <si>
    <t>CHE-401.401.564</t>
  </si>
  <si>
    <t>Maks Events</t>
  </si>
  <si>
    <t>CHE-367.367.414</t>
  </si>
  <si>
    <t>TIBOR JAKAB</t>
  </si>
  <si>
    <t>CHE-409.409.836</t>
  </si>
  <si>
    <t>Coiffure Stärne-klar, Sabine Heiniger</t>
  </si>
  <si>
    <t>Zürichstrasse 2</t>
  </si>
  <si>
    <t>CHE-171.171.193</t>
  </si>
  <si>
    <t>RS Telecom GmbH</t>
  </si>
  <si>
    <t>Ammon Swissholz AG</t>
  </si>
  <si>
    <t>Häbernbadstrasse 14</t>
  </si>
  <si>
    <t>Geissbergstrasse 17</t>
  </si>
  <si>
    <t>CHE-402.402.761</t>
  </si>
  <si>
    <t>Huemer + Co. GmbH</t>
  </si>
  <si>
    <t>CHE-492.492.749</t>
  </si>
  <si>
    <t>Coiffure Cityline - Inhaberin Janine Gygax-Pauli</t>
  </si>
  <si>
    <t>Bahnhofstrasse 65</t>
  </si>
  <si>
    <t>Bleienbachstrasse 18</t>
  </si>
  <si>
    <t>Hauptstrasse 52</t>
  </si>
  <si>
    <t>CHE-193.193.383</t>
  </si>
  <si>
    <t>Andreas Zaugg Forstarbeiten</t>
  </si>
  <si>
    <t>Rain Mättenbach 50</t>
  </si>
  <si>
    <t>CHE-454.454.144</t>
  </si>
  <si>
    <t>Swiss Boat Solutions GmbH</t>
  </si>
  <si>
    <t>CHE-488.488.894</t>
  </si>
  <si>
    <t>Restaurant Kreuz Bleienbach GmbH</t>
  </si>
  <si>
    <t>CHE-471.471.778</t>
  </si>
  <si>
    <t>T-Nerd Videoproduktion Aegerter</t>
  </si>
  <si>
    <t>Mattenweg 10</t>
  </si>
  <si>
    <t>Mining Evolution GmbH</t>
  </si>
  <si>
    <t>Galmisweg 28</t>
  </si>
  <si>
    <t>CHE-292.292.657</t>
  </si>
  <si>
    <t>Hoch2 Medien Schweiz AG</t>
  </si>
  <si>
    <t>J602000</t>
  </si>
  <si>
    <t>Fernsehveranstalter</t>
  </si>
  <si>
    <t>Hofstrasse 21</t>
  </si>
  <si>
    <t>CHE-225.225.305</t>
  </si>
  <si>
    <t>UMATEC AG</t>
  </si>
  <si>
    <t>CHE-490.490.053</t>
  </si>
  <si>
    <t>Burri Transporte GmbH</t>
  </si>
  <si>
    <t>Wäckerschwend 93e</t>
  </si>
  <si>
    <t>Lotzwilstrasse 5</t>
  </si>
  <si>
    <t>CHE-167.167.350</t>
  </si>
  <si>
    <t>Bergstein Beratung GmbH</t>
  </si>
  <si>
    <t>Dorfstrasse 43</t>
  </si>
  <si>
    <t>CHE-421.421.354</t>
  </si>
  <si>
    <t>clara capitis Inh. Rouven Seidler</t>
  </si>
  <si>
    <t>CHE-225.225.937</t>
  </si>
  <si>
    <t>Partygriller.ch / Markus Schär</t>
  </si>
  <si>
    <t>Biblisweg 19</t>
  </si>
  <si>
    <t>CHE-338.338.484</t>
  </si>
  <si>
    <t>MP Generalunternehmung GmbH</t>
  </si>
  <si>
    <t>CHE-324.324.835</t>
  </si>
  <si>
    <t>Wärmeverbund Weber/Wirth GmbH</t>
  </si>
  <si>
    <t>c/o Peter Wirth</t>
  </si>
  <si>
    <t>CHE-231.231.930</t>
  </si>
  <si>
    <t>Betreuungsdienst Rund um die Uhr Susanna Ramiqi</t>
  </si>
  <si>
    <t>CHE-477.477.134</t>
  </si>
  <si>
    <t>Plan S Planung + Architektur GmbH</t>
  </si>
  <si>
    <t>CHE-276.276.115</t>
  </si>
  <si>
    <t>Lifeadvice Andrea Lehmann-Szabo</t>
  </si>
  <si>
    <t>Önzgasse 15</t>
  </si>
  <si>
    <t>CHE-364.364.013</t>
  </si>
  <si>
    <t>Anlagenbau Freiburghaus</t>
  </si>
  <si>
    <t>CHE-421.421.375</t>
  </si>
  <si>
    <t>Boss Elektro GmbH</t>
  </si>
  <si>
    <t>CHE-227.227.708</t>
  </si>
  <si>
    <t>Zeller Group GmbH</t>
  </si>
  <si>
    <t>Sonnenweg 4</t>
  </si>
  <si>
    <t>CHE-298.298.731</t>
  </si>
  <si>
    <t>MiroMaxx GmbH</t>
  </si>
  <si>
    <t>Johanniterweg 5</t>
  </si>
  <si>
    <t>CHE-380.380.646</t>
  </si>
  <si>
    <t>Gastro Langenthal GmbH</t>
  </si>
  <si>
    <t>CHE-113.113.555</t>
  </si>
  <si>
    <t>LG Transporte GmbH</t>
  </si>
  <si>
    <t>AEK AG</t>
  </si>
  <si>
    <t>Brunnenrain 19</t>
  </si>
  <si>
    <t>CHE-437.437.085</t>
  </si>
  <si>
    <t>BR Telecommunication &amp; Marketing GmbH</t>
  </si>
  <si>
    <t>CHE-463.463.785</t>
  </si>
  <si>
    <t>Philipp Buser Kommunikation GmbH</t>
  </si>
  <si>
    <t>CHE-145.145.111</t>
  </si>
  <si>
    <t>io360 AG</t>
  </si>
  <si>
    <t>CHE-300.300.000</t>
  </si>
  <si>
    <t>kundtun gmbh</t>
  </si>
  <si>
    <t>CHE-233.233.647</t>
  </si>
  <si>
    <t>Lumen Bestattungsdienst GmbH</t>
  </si>
  <si>
    <t>CHE-247.247.342</t>
  </si>
  <si>
    <t>Stiftung Haus der Musik Aarwangen</t>
  </si>
  <si>
    <t>c/o Gerhard und Charlotte Meyer-Geiser</t>
  </si>
  <si>
    <t>Friedhofstrasse 53</t>
  </si>
  <si>
    <t>CHE-146.146.652</t>
  </si>
  <si>
    <t>Greub Finanz AG</t>
  </si>
  <si>
    <t>Kapellenweg 2+4</t>
  </si>
  <si>
    <t>CHE-256.256.821</t>
  </si>
  <si>
    <t>SAARADE ADEMI</t>
  </si>
  <si>
    <t>c/o Jürg Obi</t>
  </si>
  <si>
    <t>CyFa-Tech.ch Manufacturing Solutions GmbH</t>
  </si>
  <si>
    <t>Hohlenstrasse 18</t>
  </si>
  <si>
    <t>CHE-196.196.728</t>
  </si>
  <si>
    <t>Vox Natio, Inhaber Tobias Hauser</t>
  </si>
  <si>
    <t>Brunnenrain 1</t>
  </si>
  <si>
    <t>CHE-484.484.856</t>
  </si>
  <si>
    <t>Aebi Consulting GmbH</t>
  </si>
  <si>
    <t>Oberfeldstrasse 16</t>
  </si>
  <si>
    <t>Gerzmattstrasse 3</t>
  </si>
  <si>
    <t>Lumen Schreinerei Martin Lüscher</t>
  </si>
  <si>
    <t>CHE-352.352.671</t>
  </si>
  <si>
    <t>Allround Service Tschumi</t>
  </si>
  <si>
    <t>Beundenrain 55a</t>
  </si>
  <si>
    <t>CHE-272.272.527</t>
  </si>
  <si>
    <t>TreeNity GmbH</t>
  </si>
  <si>
    <t>Sager 282</t>
  </si>
  <si>
    <t>CHE-309.309.832</t>
  </si>
  <si>
    <t>Sindy Müller GmbH</t>
  </si>
  <si>
    <t>Hausmattstrasse 2</t>
  </si>
  <si>
    <t>CHE-112.112.559</t>
  </si>
  <si>
    <t>swiss bridge consulting gmbh</t>
  </si>
  <si>
    <t>c/o Frey Treuhand GmbH</t>
  </si>
  <si>
    <t>CHE-299.299.811</t>
  </si>
  <si>
    <t>proMechanik Inh. V.Shabani</t>
  </si>
  <si>
    <t>CHE-142.142.430</t>
  </si>
  <si>
    <t>CHE-271.271.458</t>
  </si>
  <si>
    <t>ami-et elektrotechnik ag</t>
  </si>
  <si>
    <t>CHE-291.291.156</t>
  </si>
  <si>
    <t>Bellezza dei Bambini, Inh. Claudia Fischer</t>
  </si>
  <si>
    <t>Around the Hair Manuela Steiner</t>
  </si>
  <si>
    <t>CHE-206.206.959</t>
  </si>
  <si>
    <t>Semas Group GmbH</t>
  </si>
  <si>
    <t>CHE-138.138.232</t>
  </si>
  <si>
    <t>rechnungswerk Treuhand GmbH</t>
  </si>
  <si>
    <t>Lotzwilstrasse 28</t>
  </si>
  <si>
    <t>CHE-355.355.712</t>
  </si>
  <si>
    <t>Mobiliving.ch Pioggia</t>
  </si>
  <si>
    <t>untere Dürrmühlestrasse 21</t>
  </si>
  <si>
    <t>c/o Rita Soom + Marchel Marti</t>
  </si>
  <si>
    <t>Wuhrgasse 22</t>
  </si>
  <si>
    <t>Aarwangenstrasse 68a</t>
  </si>
  <si>
    <t>Lünisberg 138B</t>
  </si>
  <si>
    <t>CHE-180.180.867</t>
  </si>
  <si>
    <t>Vision Plus Gartenbau und Unterhalt GmbH</t>
  </si>
  <si>
    <t>Valentin Nüesch-Weg 11</t>
  </si>
  <si>
    <t>Management &amp; Beauty klg</t>
  </si>
  <si>
    <t>CHE-273.273.797</t>
  </si>
  <si>
    <t>Kis - Allrounder</t>
  </si>
  <si>
    <t>CHE-230.230.115</t>
  </si>
  <si>
    <t>GRI Golden Rule Investment GmbH</t>
  </si>
  <si>
    <t>Jurastrasse 19</t>
  </si>
  <si>
    <t>Büssliwerkstatt GmbH</t>
  </si>
  <si>
    <t>Malergeschäft Keusen Inh. Marco Burkhalter</t>
  </si>
  <si>
    <t>Herrengasse 70</t>
  </si>
  <si>
    <t>KK Treuhand + Consulting GmbH</t>
  </si>
  <si>
    <t>CHE-459.459.552</t>
  </si>
  <si>
    <t>1message N. Bianchi</t>
  </si>
  <si>
    <t>Bleienbachstrasse 2</t>
  </si>
  <si>
    <t>CHE-332.332.041</t>
  </si>
  <si>
    <t>Daniela Kämpf &amp; Co. KmG</t>
  </si>
  <si>
    <t>Wiesenstrasse 27</t>
  </si>
  <si>
    <t>CHE-239.239.807</t>
  </si>
  <si>
    <t>LaserQueen GmbH</t>
  </si>
  <si>
    <t>CHE-277.277.290</t>
  </si>
  <si>
    <t>MIC SOLAR MONTAGEN GmbH</t>
  </si>
  <si>
    <t>CHE-258.258.881</t>
  </si>
  <si>
    <t>Rothwald Group GmbH</t>
  </si>
  <si>
    <t>Sternenstrasse 14</t>
  </si>
  <si>
    <t>MOS Hauswartdienst &amp; Reinigung AG</t>
  </si>
  <si>
    <t>CHE-252.252.713</t>
  </si>
  <si>
    <t>Schönheitswärchstatt Lara Scheidegger</t>
  </si>
  <si>
    <t>CHE-474.474.514</t>
  </si>
  <si>
    <t>Käserei Ursenbach Inh. Thoma</t>
  </si>
  <si>
    <t>Dorf 160</t>
  </si>
  <si>
    <t>Saladin Reisen</t>
  </si>
  <si>
    <t>B&amp;Z Tech GmbH</t>
  </si>
  <si>
    <t>CHE-333.333.842</t>
  </si>
  <si>
    <t>AMENA beauty GmbH</t>
  </si>
  <si>
    <t>CHE-445.445.766</t>
  </si>
  <si>
    <t>merosa23 GmbH</t>
  </si>
  <si>
    <t>Bahnhofstrasse 80</t>
  </si>
  <si>
    <t>CHE-400.400.131</t>
  </si>
  <si>
    <t>Bäreggstrasse 55</t>
  </si>
  <si>
    <t>Löwen Berken AG</t>
  </si>
  <si>
    <t>Unterberken 13</t>
  </si>
  <si>
    <t>Untersteckholzstrasse 26</t>
  </si>
  <si>
    <t>CHE-264.264.048</t>
  </si>
  <si>
    <t>Bolli Daniel Ihr Joker</t>
  </si>
  <si>
    <t>Hasengasse 4</t>
  </si>
  <si>
    <t>CHE-286.286.944</t>
  </si>
  <si>
    <t>Florepa Holding AG</t>
  </si>
  <si>
    <t>c/o Bospi AG</t>
  </si>
  <si>
    <t>CHE-202.202.171</t>
  </si>
  <si>
    <t>Boeke Consultancy Services</t>
  </si>
  <si>
    <t>Talackerstrasse 16</t>
  </si>
  <si>
    <t>CHE-294.294.895</t>
  </si>
  <si>
    <t>Solexbiene Marco Bongni</t>
  </si>
  <si>
    <t>Schulstrasse 10</t>
  </si>
  <si>
    <t>CHE-485.485.397</t>
  </si>
  <si>
    <t>MiniKita Schweiz GmbH</t>
  </si>
  <si>
    <t>Industrieweg 18</t>
  </si>
  <si>
    <t>Zürichstrasse 45</t>
  </si>
  <si>
    <t>CHE-148.148.405</t>
  </si>
  <si>
    <t>SIGIplus Holding AG</t>
  </si>
  <si>
    <t>c/o SIGIplus AG</t>
  </si>
  <si>
    <t>CHE-395.395.674</t>
  </si>
  <si>
    <t>NAAD Architektur GmbH</t>
  </si>
  <si>
    <t>Farnsbergstrasse 11a</t>
  </si>
  <si>
    <t>Toggiburgstrasse 40</t>
  </si>
  <si>
    <t>Bärenfeldweg 3</t>
  </si>
  <si>
    <t>CHE-214.214.376</t>
  </si>
  <si>
    <t>SwissCleaner Lobert</t>
  </si>
  <si>
    <t>Oberstrasse 22</t>
  </si>
  <si>
    <t>c/o Patrick Dähler</t>
  </si>
  <si>
    <t>CHE-135.135.010</t>
  </si>
  <si>
    <t>That's ME Coaching GmbH</t>
  </si>
  <si>
    <t>CHE-240.240.723</t>
  </si>
  <si>
    <t>Martin Wyss - mawy augenblicke</t>
  </si>
  <si>
    <t>Melchnaustrasse 3</t>
  </si>
  <si>
    <t>CHE-445.445.727</t>
  </si>
  <si>
    <t>Wynau Pizza Hussein</t>
  </si>
  <si>
    <t>CHE-417.417.251</t>
  </si>
  <si>
    <t>LDCG by Barrero</t>
  </si>
  <si>
    <t>Melchnaustrasse 59</t>
  </si>
  <si>
    <t>CHE-439.439.125</t>
  </si>
  <si>
    <t>WYSS plus GmbH</t>
  </si>
  <si>
    <t>CHE-302.302.364</t>
  </si>
  <si>
    <t>Renovation &amp; Design Vergeiner</t>
  </si>
  <si>
    <t>c/o Markus Riesenmey</t>
  </si>
  <si>
    <t>Sonnweg 14</t>
  </si>
  <si>
    <t>CHE-130.130.870</t>
  </si>
  <si>
    <t>ASAG Asbest- und Schadstoffrückbau AG</t>
  </si>
  <si>
    <t>E390000</t>
  </si>
  <si>
    <t>Beseitigung von Umweltverschmutzungen und sonstige Entsorgung</t>
  </si>
  <si>
    <t>CHE-480.480.183</t>
  </si>
  <si>
    <t>Live Reinigung GmbH</t>
  </si>
  <si>
    <t>CHE-100.100.583</t>
  </si>
  <si>
    <t>Genossenschaft M&amp;M am Bärg</t>
  </si>
  <si>
    <t>c/o Markus Meyer</t>
  </si>
  <si>
    <t>Bergstrasse 13</t>
  </si>
  <si>
    <t>CHE-258.258.387</t>
  </si>
  <si>
    <t>Heiniger Planung &amp; Baumanagement GmbH</t>
  </si>
  <si>
    <t>Weststrasse 96</t>
  </si>
  <si>
    <t>CHE-393.393.366</t>
  </si>
  <si>
    <t>Thieblot Immobilien AG</t>
  </si>
  <si>
    <t>Hofmattstrasse 10a</t>
  </si>
  <si>
    <t>CHE-414.414.100</t>
  </si>
  <si>
    <t>sein-raum reinmann-jaussi</t>
  </si>
  <si>
    <t>Berkenstrasse 4</t>
  </si>
  <si>
    <t>CHE-499.499.291</t>
  </si>
  <si>
    <t>raro buchsi gmbh</t>
  </si>
  <si>
    <t>CHE-461.461.914</t>
  </si>
  <si>
    <t>Mikroskop Service&amp;Sales Berteotti</t>
  </si>
  <si>
    <t>CHE-413.413.233</t>
  </si>
  <si>
    <t>Autocenter Herzogenbuchsee GmbH</t>
  </si>
  <si>
    <t>CHE-299.299.385</t>
  </si>
  <si>
    <t>Umzug Group Haji</t>
  </si>
  <si>
    <t>Jurastrasse 25</t>
  </si>
  <si>
    <t>Oberhardstrasse 22</t>
  </si>
  <si>
    <t>CHE-481.481.107</t>
  </si>
  <si>
    <t>Bross GmbH</t>
  </si>
  <si>
    <t>Bützbergstrasse 19</t>
  </si>
  <si>
    <t>CHE-114.114.006</t>
  </si>
  <si>
    <t>Expertisa Immobilien AG</t>
  </si>
  <si>
    <t>CHE-252.252.125</t>
  </si>
  <si>
    <t>TR Service + Handel GmbH</t>
  </si>
  <si>
    <t>Hohfuren 8</t>
  </si>
  <si>
    <t>CHE-493.493.080</t>
  </si>
  <si>
    <t>AZRA Reinigung Inh. Ukshini</t>
  </si>
  <si>
    <t>Wuhrgasse 21</t>
  </si>
  <si>
    <t>CHE-386.386.637</t>
  </si>
  <si>
    <t>MM-InCa GmbH</t>
  </si>
  <si>
    <t>CHE-153.153.884</t>
  </si>
  <si>
    <t>massage esther uhlmann</t>
  </si>
  <si>
    <t>Riebeliweg 3</t>
  </si>
  <si>
    <t>Aarwangenstrasse 100</t>
  </si>
  <si>
    <t>CHE-326.326.871</t>
  </si>
  <si>
    <t>SuspensionDoc Hediger</t>
  </si>
  <si>
    <t>Hauptstrasse 23c</t>
  </si>
  <si>
    <t>CHE-469.469.655</t>
  </si>
  <si>
    <t>Goldenreinigung GmbH</t>
  </si>
  <si>
    <t>Finkenweg 16a</t>
  </si>
  <si>
    <t>CHE-363.363.335</t>
  </si>
  <si>
    <t>Erdarbeiten Ruch GmbH</t>
  </si>
  <si>
    <t>Neuligen 51</t>
  </si>
  <si>
    <t>CHE-353.353.834</t>
  </si>
  <si>
    <t>Kitchtastic AG</t>
  </si>
  <si>
    <t>c/o Eljona Imeri</t>
  </si>
  <si>
    <t>Spittelbünliweg 6</t>
  </si>
  <si>
    <t>CHE-454.454.182</t>
  </si>
  <si>
    <t>Elireg Sagl</t>
  </si>
  <si>
    <t>CHE-144.144.757</t>
  </si>
  <si>
    <t>Beat Steiner</t>
  </si>
  <si>
    <t>CHE-342.342.016</t>
  </si>
  <si>
    <t>Simon Mathys GmbH</t>
  </si>
  <si>
    <t>Büünerain 5</t>
  </si>
  <si>
    <t>Städtli 52</t>
  </si>
  <si>
    <t>Unterer Freiburgweg 6</t>
  </si>
  <si>
    <t>Schweizer Versicherungs Service AG</t>
  </si>
  <si>
    <t>CHE-449.449.846</t>
  </si>
  <si>
    <t>Stickatelier Probst</t>
  </si>
  <si>
    <t>Unteres Zollwegli 5</t>
  </si>
  <si>
    <t>Lehmgrube 9</t>
  </si>
  <si>
    <t>Steinackerweg 13</t>
  </si>
  <si>
    <t>Kammernwaldstrasse 2</t>
  </si>
  <si>
    <t>RUF Ärztetreuhand AG</t>
  </si>
  <si>
    <t>CHE-468.468.172</t>
  </si>
  <si>
    <t>phonezone ag</t>
  </si>
  <si>
    <t>G474200</t>
  </si>
  <si>
    <t>Detailhandel mit Telekommunikationsgeräten</t>
  </si>
  <si>
    <t>CHE-456.456.974</t>
  </si>
  <si>
    <t>shoponline24.ch, Inh. Moser</t>
  </si>
  <si>
    <t>Grabenstrasse 15d</t>
  </si>
  <si>
    <t>CHE-292.292.859</t>
  </si>
  <si>
    <t>Pita GmbH</t>
  </si>
  <si>
    <t>CHE-391.391.268</t>
  </si>
  <si>
    <t>KeramikPartner GmbH</t>
  </si>
  <si>
    <t>Powertronik GmbH</t>
  </si>
  <si>
    <t>CHE-304.304.069</t>
  </si>
  <si>
    <t>Surber Goldschmied</t>
  </si>
  <si>
    <t>CHE-222.222.861</t>
  </si>
  <si>
    <t>SCHÜTZ INNENAUSBAU AG</t>
  </si>
  <si>
    <t>CHE-377.377.378</t>
  </si>
  <si>
    <t>CHE-249.249.548</t>
  </si>
  <si>
    <t>Bardelli Erbenholding AG</t>
  </si>
  <si>
    <t>c/o Guido Bardelli</t>
  </si>
  <si>
    <t>Bützbergstrasse 24</t>
  </si>
  <si>
    <t>Aarwangenstrasse 59</t>
  </si>
  <si>
    <t>CHE-143.143.994</t>
  </si>
  <si>
    <t>Corvera Consult GmbH</t>
  </si>
  <si>
    <t>Fischer GU GmbH</t>
  </si>
  <si>
    <t>CHE-253.253.240</t>
  </si>
  <si>
    <t>simatec Holding AG</t>
  </si>
  <si>
    <t>CHE-366.366.980</t>
  </si>
  <si>
    <t>Haircut Tanja König</t>
  </si>
  <si>
    <t>Mittelstrasse 21A</t>
  </si>
  <si>
    <t>CHE-190.190.464</t>
  </si>
  <si>
    <t>Maria Jesus Pilattus, Inhaberin Borges De Jesus</t>
  </si>
  <si>
    <t>Grünauweg 3</t>
  </si>
  <si>
    <t>CHE-258.258.925</t>
  </si>
  <si>
    <t>Blacktip AG</t>
  </si>
  <si>
    <t>Flurweg 7</t>
  </si>
  <si>
    <t>CHE-420.420.323</t>
  </si>
  <si>
    <t>Crazy Corals Hornböck</t>
  </si>
  <si>
    <t>Multinet Communication AG, Zweigniederlassung Niederönz</t>
  </si>
  <si>
    <t>CHE-200.200.618</t>
  </si>
  <si>
    <t>Phonepic Production GmbH</t>
  </si>
  <si>
    <t>Eigenstrasse 6</t>
  </si>
  <si>
    <t>CHE-214.214.001</t>
  </si>
  <si>
    <t>Delicious Network AG</t>
  </si>
  <si>
    <t>CHE-358.358.951</t>
  </si>
  <si>
    <t>Peter Zulauf Beratungen</t>
  </si>
  <si>
    <t>Niedermatt 1B</t>
  </si>
  <si>
    <t>CHE-288.288.802</t>
  </si>
  <si>
    <t>Güdel happyFIX GmbH</t>
  </si>
  <si>
    <t>c/o Michael Güdel</t>
  </si>
  <si>
    <t>CHE-107.107.016</t>
  </si>
  <si>
    <t>Häusler Consultech AG</t>
  </si>
  <si>
    <t>Alleeweg 1</t>
  </si>
  <si>
    <t>CHE-223.223.879</t>
  </si>
  <si>
    <t>sbm Baumanagement GmbH</t>
  </si>
  <si>
    <t>Kindergartenweg 7</t>
  </si>
  <si>
    <t>BFBB AG</t>
  </si>
  <si>
    <t>Neufeldweg 13</t>
  </si>
  <si>
    <t>mrp ag</t>
  </si>
  <si>
    <t>CHE-417.417.957</t>
  </si>
  <si>
    <t>Mocra Invest AG</t>
  </si>
  <si>
    <t>Langenthalstrasse 32</t>
  </si>
  <si>
    <t>CHE-379.379.192</t>
  </si>
  <si>
    <t>SMART Spitex AG</t>
  </si>
  <si>
    <t>c/o Léonie Grogg</t>
  </si>
  <si>
    <t>CHE-305.305.391</t>
  </si>
  <si>
    <t>Thai Time Langenthal GmbH</t>
  </si>
  <si>
    <t>c/o Maja Eigenmann Fisch</t>
  </si>
  <si>
    <t>Tulpenweg 9</t>
  </si>
  <si>
    <t>CHE-368.368.284</t>
  </si>
  <si>
    <t>ITcop GmbH</t>
  </si>
  <si>
    <t>Haldenweg 4</t>
  </si>
  <si>
    <t>CHE-481.481.899</t>
  </si>
  <si>
    <t>eleven IT Ruedi Eichelberger</t>
  </si>
  <si>
    <t>Distelweg 7</t>
  </si>
  <si>
    <t>CHE-347.347.417</t>
  </si>
  <si>
    <t>MAJO Beteiligungen AG</t>
  </si>
  <si>
    <t>CHE-109.109.391</t>
  </si>
  <si>
    <t>PC-Privat-Support Müller Andreas</t>
  </si>
  <si>
    <t>Bahnhofstrasse 68</t>
  </si>
  <si>
    <t>Gässli 17</t>
  </si>
  <si>
    <t>Solarpunkt 71 AG</t>
  </si>
  <si>
    <t>CHE-358.358.440</t>
  </si>
  <si>
    <t>Nancy Krüger GmbH</t>
  </si>
  <si>
    <t>CHE-409.409.810</t>
  </si>
  <si>
    <t>Aklamax GmbH</t>
  </si>
  <si>
    <t>Steingasse 40</t>
  </si>
  <si>
    <t>CHE-351.351.666</t>
  </si>
  <si>
    <t>wurzelstockentfernen.ch GmbH</t>
  </si>
  <si>
    <t>Wangenstrasse 57</t>
  </si>
  <si>
    <t>CHE-301.301.746</t>
  </si>
  <si>
    <t>Grütter AG, Schreinerei &amp; Küchenbau</t>
  </si>
  <si>
    <t>CHE-196.196.269</t>
  </si>
  <si>
    <t>BFL Invest AG</t>
  </si>
  <si>
    <t>CHE-383.383.105</t>
  </si>
  <si>
    <t>TM Park Immobilien GmbH</t>
  </si>
  <si>
    <t>CHE-295.295.789</t>
  </si>
  <si>
    <t>Physio Oberaargau AG</t>
  </si>
  <si>
    <t>St. Urbanstrasse 23</t>
  </si>
  <si>
    <t>Bike-DR Steffen</t>
  </si>
  <si>
    <t>Langenthalstrasse 27a</t>
  </si>
  <si>
    <t>Ruch Tiefbau AG</t>
  </si>
  <si>
    <t>CHE-115.115.736</t>
  </si>
  <si>
    <t>Gemeinschaft Riedbad GmbH</t>
  </si>
  <si>
    <t>Äusserer Gsteigweg 7a</t>
  </si>
  <si>
    <t>CHE-274.274.196</t>
  </si>
  <si>
    <t>STALEX Stjepanovic</t>
  </si>
  <si>
    <t>Bahnhofstrasse 51</t>
  </si>
  <si>
    <t>CHE-211.211.179</t>
  </si>
  <si>
    <t>AVROS AG</t>
  </si>
  <si>
    <t>CHE-115.115.523</t>
  </si>
  <si>
    <t>Goldschmiede von Arx</t>
  </si>
  <si>
    <t>Kirchgasse 9</t>
  </si>
  <si>
    <t>FERIZ AG</t>
  </si>
  <si>
    <t>Kirchgasse 20</t>
  </si>
  <si>
    <t>CHE-158.158.155</t>
  </si>
  <si>
    <t>Blumenfun by Cappelli</t>
  </si>
  <si>
    <t>CHE-264.264.439</t>
  </si>
  <si>
    <t>MP Metallbau&amp;Planung GmbH</t>
  </si>
  <si>
    <t>c/o Prenke Shkorreti</t>
  </si>
  <si>
    <t>CHE-231.231.730</t>
  </si>
  <si>
    <t>CHE-361.361.099</t>
  </si>
  <si>
    <t>Ffeda GmbH</t>
  </si>
  <si>
    <t>CHE-269.269.232</t>
  </si>
  <si>
    <t>Hausarztpraxis Roggwil-Wynau AG</t>
  </si>
  <si>
    <t>Kilchweg 2b</t>
  </si>
  <si>
    <t>CHE-453.453.906</t>
  </si>
  <si>
    <t>Yayan Architektur GmbH</t>
  </si>
  <si>
    <t>c/o Sibel Kardelen Yayan</t>
  </si>
  <si>
    <t>Südstrasse 6</t>
  </si>
  <si>
    <t>CHE-410.410.039</t>
  </si>
  <si>
    <t>Nandotainment Oberli</t>
  </si>
  <si>
    <t>Gaswerkstrasse 66A</t>
  </si>
  <si>
    <t>CHE-343.343.834</t>
  </si>
  <si>
    <t>S+Z Bauwerk GmbH</t>
  </si>
  <si>
    <t>Allmend 6</t>
  </si>
  <si>
    <t>CHE-412.412.676</t>
  </si>
  <si>
    <t>Rici Bau GmbH</t>
  </si>
  <si>
    <t>c/o Ricardas Dovidauskas</t>
  </si>
  <si>
    <t>CHE-459.459.782</t>
  </si>
  <si>
    <t>SOWACOM AG Mittelland</t>
  </si>
  <si>
    <t>CHE-413.413.089</t>
  </si>
  <si>
    <t>Reinhard Holding GmbH</t>
  </si>
  <si>
    <t>c/o Danioth Generalbau AG</t>
  </si>
  <si>
    <t>CHE-154.154.803</t>
  </si>
  <si>
    <t>Reifen-Schweiz Maxim Koval</t>
  </si>
  <si>
    <t>CHE-167.167.029</t>
  </si>
  <si>
    <t>Empire Garage by Weibel</t>
  </si>
  <si>
    <t>CHE-234.234.130</t>
  </si>
  <si>
    <t>Flückiger Log-Plan GmbH</t>
  </si>
  <si>
    <t>CHE-445.445.396</t>
  </si>
  <si>
    <t>RABI HausBau GmbH</t>
  </si>
  <si>
    <t>c/o Naim Maksuti</t>
  </si>
  <si>
    <t>Südstrasse 10</t>
  </si>
  <si>
    <t>Praxis Lotzwil AG</t>
  </si>
  <si>
    <t>CHE-156.156.685</t>
  </si>
  <si>
    <t>Wagner Homebrew</t>
  </si>
  <si>
    <t>Birkenweg 4</t>
  </si>
  <si>
    <t>Osmanaj Gartenbau und Landschaftspflege</t>
  </si>
  <si>
    <t>wortschaft, Text und Verlag Philipp Abt</t>
  </si>
  <si>
    <t>Höhenweg 24</t>
  </si>
  <si>
    <t>CHE-379.379.864</t>
  </si>
  <si>
    <t>Coiffeur Stampfli GmbH</t>
  </si>
  <si>
    <t>c/o Stephanie Geiser</t>
  </si>
  <si>
    <t>Försterstrasse 2</t>
  </si>
  <si>
    <t>CHE-251.251.357</t>
  </si>
  <si>
    <t>SmartConnect Installations GmbH</t>
  </si>
  <si>
    <t>CHE-418.418.095</t>
  </si>
  <si>
    <t>elpv GmbH</t>
  </si>
  <si>
    <t>Unterholz 30a</t>
  </si>
  <si>
    <t>Jost Handwerk</t>
  </si>
  <si>
    <t>3W-STRATEGO GMBH</t>
  </si>
  <si>
    <t>Steggässli 2</t>
  </si>
  <si>
    <t>CHE-255.255.060</t>
  </si>
  <si>
    <t>Kurzbuch &amp; Kurzbuch Holding AG</t>
  </si>
  <si>
    <t>c/o Carrosserie Sägesser AG</t>
  </si>
  <si>
    <t>Dennliweg 31a</t>
  </si>
  <si>
    <t>CHE-329.329.404</t>
  </si>
  <si>
    <t>Carpro Swiss GmbH</t>
  </si>
  <si>
    <t>CHE-434.434.536</t>
  </si>
  <si>
    <t>BM3 Automobile GmbH</t>
  </si>
  <si>
    <t>Langenthalstrasse 49</t>
  </si>
  <si>
    <t>TALPHA Partner GmbH</t>
  </si>
  <si>
    <t>CHE-237.237.848</t>
  </si>
  <si>
    <t>GREAT PLANNING - Carla Alessia Iseli</t>
  </si>
  <si>
    <t>Industrieweg 1</t>
  </si>
  <si>
    <t>Dorf 29b</t>
  </si>
  <si>
    <t>CHE-116.116.055</t>
  </si>
  <si>
    <t>Xcosoft Hassan IT-Service</t>
  </si>
  <si>
    <t>Oberdorfstrasse 7</t>
  </si>
  <si>
    <t>CHE-211.211.176</t>
  </si>
  <si>
    <t>CHE-368.368.688</t>
  </si>
  <si>
    <t>architektur bettler gmbh</t>
  </si>
  <si>
    <t>Luzernstrasse 15</t>
  </si>
  <si>
    <t>Quarta Manuela - SubPrint</t>
  </si>
  <si>
    <t>CHE-200.200.495</t>
  </si>
  <si>
    <t>LIV physio/active GmbH</t>
  </si>
  <si>
    <t>Bützbergstrasse 29</t>
  </si>
  <si>
    <t>Solothurnstrasse 16</t>
  </si>
  <si>
    <t>CHE-308.308.309</t>
  </si>
  <si>
    <t>Webitekt - Kevin Graber</t>
  </si>
  <si>
    <t>Gass 12</t>
  </si>
  <si>
    <t>Sprengliweg 15</t>
  </si>
  <si>
    <t>CHE-301.301.297</t>
  </si>
  <si>
    <t>M. Schibli GmbH</t>
  </si>
  <si>
    <t>Spiegelberg 16</t>
  </si>
  <si>
    <t>CHE-273.273.407</t>
  </si>
  <si>
    <t>IGNITE-concepts GmbH</t>
  </si>
  <si>
    <t>Felsenweg 13</t>
  </si>
  <si>
    <t>CHE-426.426.424</t>
  </si>
  <si>
    <t>Buchsi Malerei Kocijan</t>
  </si>
  <si>
    <t>CHE-215.215.905</t>
  </si>
  <si>
    <t>Adelheid Blum</t>
  </si>
  <si>
    <t>Architekturpartner GmbH</t>
  </si>
  <si>
    <t>Espace Health Gesundheitszentren AG</t>
  </si>
  <si>
    <t>Bahnhofstrasse 33</t>
  </si>
  <si>
    <t>CHE-422.422.578</t>
  </si>
  <si>
    <t>CHE-279.279.465</t>
  </si>
  <si>
    <t>CV Port I AG</t>
  </si>
  <si>
    <t>CHE-419.419.054</t>
  </si>
  <si>
    <t>mrp immobilien ag</t>
  </si>
  <si>
    <t>CHE-213.213.864</t>
  </si>
  <si>
    <t>Solis Consult AG</t>
  </si>
  <si>
    <t>Riedhofstrasse 20</t>
  </si>
  <si>
    <t>CHE-328.328.841</t>
  </si>
  <si>
    <t>E382200</t>
  </si>
  <si>
    <t>Behandlung und Beseitigung gefährlicher Abfälle</t>
  </si>
  <si>
    <t>c/o Erbo Spraytec AG</t>
  </si>
  <si>
    <t>Ducksch Anliker AG</t>
  </si>
  <si>
    <t>CHE-491.491.955</t>
  </si>
  <si>
    <t>CV Trade AG</t>
  </si>
  <si>
    <t>c/o Carvolution AG</t>
  </si>
  <si>
    <t>CHE-388.388.228</t>
  </si>
  <si>
    <t>CV Port II AG</t>
  </si>
  <si>
    <t>CHE-225.225.615</t>
  </si>
  <si>
    <t>LÜSCHER informatik GmbH</t>
  </si>
  <si>
    <t>Holzhäusernstrasse 39</t>
  </si>
  <si>
    <t>Espace Health Apotheken AG</t>
  </si>
  <si>
    <t>C281200</t>
  </si>
  <si>
    <t>Herstellung von hydraulischen und pneumatischen Komponenten und Systemen</t>
  </si>
  <si>
    <t>Hadorn Hofdünger-Technik AG</t>
  </si>
  <si>
    <t>Lindenholz 2g</t>
  </si>
  <si>
    <t>CHE-295.295.129</t>
  </si>
  <si>
    <t>GEM Import-Export GmbH</t>
  </si>
  <si>
    <t>CHE-110.110.718</t>
  </si>
  <si>
    <t>Futurjns AG</t>
  </si>
  <si>
    <t>Fluhstrasse 9</t>
  </si>
  <si>
    <t>CHE-397.397.625</t>
  </si>
  <si>
    <t>Cleanup Saladin GmbH, Zweigniederlassung Langenthal</t>
  </si>
  <si>
    <t>CHE-497.497.901</t>
  </si>
  <si>
    <t>IMPERIUM Consulting, Patrik Gabriel</t>
  </si>
  <si>
    <t>CHE-145.145.764</t>
  </si>
  <si>
    <t>Auto Everest Dumitru KLG</t>
  </si>
  <si>
    <t>CHE-201.201.067</t>
  </si>
  <si>
    <t>Istvan Müller Holding GmbH</t>
  </si>
  <si>
    <t>Oltenstrasse 34b</t>
  </si>
  <si>
    <t>CHE-386.386.564</t>
  </si>
  <si>
    <t>Plüss Werner, Beratung in der Dichtungstechnik</t>
  </si>
  <si>
    <t>Holenweg 7</t>
  </si>
  <si>
    <t>CHE-214.214.604</t>
  </si>
  <si>
    <t>Grädel Gastro AG</t>
  </si>
  <si>
    <t>Fichtenweg 2</t>
  </si>
  <si>
    <t>Bützbergstrasse 2c</t>
  </si>
  <si>
    <t>Hofmattstrasse 19</t>
  </si>
  <si>
    <t>CHE-213.213.221</t>
  </si>
  <si>
    <t>mandamachts by schmid</t>
  </si>
  <si>
    <t>Zelgliweg 15a</t>
  </si>
  <si>
    <t>CHE-398.398.551</t>
  </si>
  <si>
    <t>Feinstern GmbH</t>
  </si>
  <si>
    <t>c/o Sebastiano Sbriglio</t>
  </si>
  <si>
    <t>Burgstrasse 6</t>
  </si>
  <si>
    <t>CHE-301.301.775</t>
  </si>
  <si>
    <t>Tschudi Büromaschinen</t>
  </si>
  <si>
    <t>CHE-161.161.118</t>
  </si>
  <si>
    <t>Experte Anästhesie Emini</t>
  </si>
  <si>
    <t>Haldenstrasse 58</t>
  </si>
  <si>
    <t>CHE-428.428.210</t>
  </si>
  <si>
    <t>Burri Invest GmbH</t>
  </si>
  <si>
    <t>c/o Philipp Burri</t>
  </si>
  <si>
    <t>Tulpenweg 6</t>
  </si>
  <si>
    <t>CHE-197.197.298</t>
  </si>
  <si>
    <t>Olive &amp; Wood Inh. Krebs</t>
  </si>
  <si>
    <t>C255000</t>
  </si>
  <si>
    <t>Herstellung von Schmiede-, Press-, Zieh- und Stanzteilen, gewalzten Ringen und pulvermetallurgischen Erzeugnissen</t>
  </si>
  <si>
    <t>Campus Perspektiven Huttwil AG</t>
  </si>
  <si>
    <t>Espace Health Wellbeing AG</t>
  </si>
  <si>
    <t>CHE-477.477.946</t>
  </si>
  <si>
    <t>Centrimo AG</t>
  </si>
  <si>
    <t>Adlerweg 1</t>
  </si>
  <si>
    <t>CHE-253.253.778</t>
  </si>
  <si>
    <t>SCHOOL LOOK GMBH</t>
  </si>
  <si>
    <t>MeyFlowers GmbH</t>
  </si>
  <si>
    <t>Langenthalstrasse 1</t>
  </si>
  <si>
    <t>CHE-493.493.254</t>
  </si>
  <si>
    <t>Benens AG</t>
  </si>
  <si>
    <t>Blumen Campanula, Lorena Riechsteiner</t>
  </si>
  <si>
    <t>Murgenthalstrasse 4c</t>
  </si>
  <si>
    <t>Mühlegasse 11</t>
  </si>
  <si>
    <t>CHE-185.185.527</t>
  </si>
  <si>
    <t>Klein's Grillshop</t>
  </si>
  <si>
    <t>Bützbergstrasse 92</t>
  </si>
  <si>
    <t>CHE-429.429.076</t>
  </si>
  <si>
    <t>GJ Transporte Jovic</t>
  </si>
  <si>
    <t>CHE-270.270.319</t>
  </si>
  <si>
    <t>Nailed by Joanna Förster</t>
  </si>
  <si>
    <t>CHE-147.147.231</t>
  </si>
  <si>
    <t>Restaurant Rössli, Lidija Pfäffli</t>
  </si>
  <si>
    <t>CHE-472.472.399</t>
  </si>
  <si>
    <t>Simon Rickli Blumen + Geschenke GmbH</t>
  </si>
  <si>
    <t>CHE-424.424.074</t>
  </si>
  <si>
    <t>Agency Sritharan</t>
  </si>
  <si>
    <t>Erlenweg 12</t>
  </si>
  <si>
    <t>CHE-219.219.723</t>
  </si>
  <si>
    <t>CHE-405.405.420</t>
  </si>
  <si>
    <t>Helden Werkstatt GmbH</t>
  </si>
  <si>
    <t>c/o Martin Held</t>
  </si>
  <si>
    <t>CHE-379.379.324</t>
  </si>
  <si>
    <t>Bühlmann Werbetechnik</t>
  </si>
  <si>
    <t>Moosbachstrasse 10</t>
  </si>
  <si>
    <t>CHE-203.203.441</t>
  </si>
  <si>
    <t>Rotweyss Renovation Inh. Biela</t>
  </si>
  <si>
    <t>Höhestrasse 1</t>
  </si>
  <si>
    <t>CHE-297.297.262</t>
  </si>
  <si>
    <t>Bauwerk Ingenieure GmbH</t>
  </si>
  <si>
    <t>Neumattweg 6</t>
  </si>
  <si>
    <t>CHE-254.254.746</t>
  </si>
  <si>
    <t>My Umzüge GmbH</t>
  </si>
  <si>
    <t>Randfluhweg 1</t>
  </si>
  <si>
    <t>Dörflistrasse 11</t>
  </si>
  <si>
    <t>werbefotograf.ch Patrick Zemp</t>
  </si>
  <si>
    <t>Sonnenweg 9</t>
  </si>
  <si>
    <t>CHE-438.438.248</t>
  </si>
  <si>
    <t>Zahnarztpraxis Hedwig Fortunato AG</t>
  </si>
  <si>
    <t>CHE-457.457.361</t>
  </si>
  <si>
    <t>Mastropietro Bau GmbH</t>
  </si>
  <si>
    <t>Brühlweg 2</t>
  </si>
  <si>
    <t>CHE-115.115.415</t>
  </si>
  <si>
    <t>Auto Blau, Lazrak Mohammed</t>
  </si>
  <si>
    <t>Jurastrasse 60</t>
  </si>
  <si>
    <t>CHE-164.164.699</t>
  </si>
  <si>
    <t>SH-Spürhunde Heiniger</t>
  </si>
  <si>
    <t>Kleinfeldstrasse 20</t>
  </si>
  <si>
    <t>CHE-367.367.441</t>
  </si>
  <si>
    <t>New Majmoon Fastfood, Inh. Hatice Tank</t>
  </si>
  <si>
    <t>CHE-233.233.676</t>
  </si>
  <si>
    <t>SetaPlaster Öztanlilar</t>
  </si>
  <si>
    <t>c/o Necip Öztanlilar</t>
  </si>
  <si>
    <t>Lagerweg 8</t>
  </si>
  <si>
    <t>CHE-338.338.602</t>
  </si>
  <si>
    <t>Christoph Schaad GmbH</t>
  </si>
  <si>
    <t>CHE-443.443.093</t>
  </si>
  <si>
    <t>Bombadille Consulting GmbH</t>
  </si>
  <si>
    <t>CHE-357.357.011</t>
  </si>
  <si>
    <t>Dachkraft GmbH</t>
  </si>
  <si>
    <t>c/o Erich Silvan Bielser</t>
  </si>
  <si>
    <t>Krautgasse 10B</t>
  </si>
  <si>
    <t>CHE-408.408.398</t>
  </si>
  <si>
    <t>Pflanzenschätze Gabriel Hess</t>
  </si>
  <si>
    <t>Weber Haustechnik GmbH</t>
  </si>
  <si>
    <t>CHE-480.480.253</t>
  </si>
  <si>
    <t>Digital Controlling GmbH</t>
  </si>
  <si>
    <t>Mühlestrasse 12a</t>
  </si>
  <si>
    <t>I551002</t>
  </si>
  <si>
    <t>Hotels, Gasthöfe und Pensionen ohne Restaurant</t>
  </si>
  <si>
    <t>CHE-227.227.826</t>
  </si>
  <si>
    <t>UT Käser AG</t>
  </si>
  <si>
    <t>c/o Ulrich und Therese Käser</t>
  </si>
  <si>
    <t>Krautgasse 7</t>
  </si>
  <si>
    <t>A014700</t>
  </si>
  <si>
    <t>Haltung von Geflügel</t>
  </si>
  <si>
    <t>CHE-266.266.241</t>
  </si>
  <si>
    <t>Portner Abdichtungen</t>
  </si>
  <si>
    <t>BloomDigital GmbH</t>
  </si>
  <si>
    <t>CHE-314.314.016</t>
  </si>
  <si>
    <t>webico Bogdanovic</t>
  </si>
  <si>
    <t>Brunnmattweg 3A</t>
  </si>
  <si>
    <t>CHE-361.361.168</t>
  </si>
  <si>
    <t>Jahiu Parts</t>
  </si>
  <si>
    <t>Hofmattstrasse 22D</t>
  </si>
  <si>
    <t>CHE-131.131.375</t>
  </si>
  <si>
    <t>CHE-257.257.033</t>
  </si>
  <si>
    <t>Meister DFreelancer</t>
  </si>
  <si>
    <t>Obersängi 46</t>
  </si>
  <si>
    <t>CHE-482.482.894</t>
  </si>
  <si>
    <t>Da Mauro Coiffeur &amp; Barber GmbH</t>
  </si>
  <si>
    <t>Städtli 7</t>
  </si>
  <si>
    <t>CHE-110.110.022</t>
  </si>
  <si>
    <t>COAST TO COAST CTC GmbH</t>
  </si>
  <si>
    <t>CHE-302.302.598</t>
  </si>
  <si>
    <t>Wotans Tierbetreuung GmbH</t>
  </si>
  <si>
    <t>CHE-448.448.459</t>
  </si>
  <si>
    <t>ZOLG Immobilien AG</t>
  </si>
  <si>
    <t>CHE-244.244.685</t>
  </si>
  <si>
    <t>Dr. med. dent. Marco Rüegg AG</t>
  </si>
  <si>
    <t>CHE-430.430.550</t>
  </si>
  <si>
    <t>simonberger.art GmbH</t>
  </si>
  <si>
    <t>Mattenweg 4</t>
  </si>
  <si>
    <t>CHE-318.318.028</t>
  </si>
  <si>
    <t>Da Noi GmbH</t>
  </si>
  <si>
    <t>Kirchgasse 3</t>
  </si>
  <si>
    <t>PRO REGIO HUTTWIL Event- und Tourismusverein</t>
  </si>
  <si>
    <t>PIXtwo AG</t>
  </si>
  <si>
    <t>CHE-188.188.774</t>
  </si>
  <si>
    <t>Mühlemann The Composer</t>
  </si>
  <si>
    <t>CHE-105.105.709</t>
  </si>
  <si>
    <t>Insel Swiss GmbH</t>
  </si>
  <si>
    <t>CHE-276.276.919</t>
  </si>
  <si>
    <t>HF admin GmbH</t>
  </si>
  <si>
    <t>Ahornweg 2</t>
  </si>
  <si>
    <t>CHE-131.131.586</t>
  </si>
  <si>
    <t>PJ Customs Jeyakumar</t>
  </si>
  <si>
    <t>Oberhardstrasse 41</t>
  </si>
  <si>
    <t>CHE-219.219.835</t>
  </si>
  <si>
    <t>Linden Immobilien GmbH</t>
  </si>
  <si>
    <t>Buchlistrasse 38</t>
  </si>
  <si>
    <t>CHE-475.475.093</t>
  </si>
  <si>
    <t>Carpassion Amrein</t>
  </si>
  <si>
    <t>CHE-149.149.671</t>
  </si>
  <si>
    <t>BS Car Passion GmbH</t>
  </si>
  <si>
    <t>CHE-224.224.937</t>
  </si>
  <si>
    <t>Fahrschule Lustenberger Lukas</t>
  </si>
  <si>
    <t>CHE-134.134.649</t>
  </si>
  <si>
    <t>Buchsi Apotheke AG</t>
  </si>
  <si>
    <t>CHE-420.420.272</t>
  </si>
  <si>
    <t>Opera Bau GmbH</t>
  </si>
  <si>
    <t>Toggiburgstrasse 28</t>
  </si>
  <si>
    <t>CHE-373.373.679</t>
  </si>
  <si>
    <t>DR. Wüthrich Schulung-Beratung-Coaching</t>
  </si>
  <si>
    <t>Geissgraben 14</t>
  </si>
  <si>
    <t>CHE-380.380.529</t>
  </si>
  <si>
    <t>Wallatis Consulting GmbH</t>
  </si>
  <si>
    <t>CHE-252.252.079</t>
  </si>
  <si>
    <t>Steffen Schreinerei GmbH</t>
  </si>
  <si>
    <t>Dorf 114f</t>
  </si>
  <si>
    <t>Kappeliweg 26</t>
  </si>
  <si>
    <t>CHE-308.308.028</t>
  </si>
  <si>
    <t>Yes Dress Brautmode GmbH</t>
  </si>
  <si>
    <t>c/o Franziska Fust-Burkhalter</t>
  </si>
  <si>
    <t>Rindermattweg 6</t>
  </si>
  <si>
    <t>CHE-156.156.338</t>
  </si>
  <si>
    <t>Betröiig ufem Burehof Seelefride</t>
  </si>
  <si>
    <t>Oberbützberg 4</t>
  </si>
  <si>
    <t>CHE-178.178.175</t>
  </si>
  <si>
    <t>Hug Web Services</t>
  </si>
  <si>
    <t>Ringstrasse 3</t>
  </si>
  <si>
    <t>CHE-466.466.126</t>
  </si>
  <si>
    <t>Sistershop KlG</t>
  </si>
  <si>
    <t>Mühlegasse 13</t>
  </si>
  <si>
    <t>CHE-131.131.534</t>
  </si>
  <si>
    <t>az repro ag</t>
  </si>
  <si>
    <t>C181203</t>
  </si>
  <si>
    <t>Lichtpause- und Reprografiebetriebe</t>
  </si>
  <si>
    <t>CHE-212.212.346</t>
  </si>
  <si>
    <t>ONDA Holding AG</t>
  </si>
  <si>
    <t>c/o Mirjam Brigitta Loosli und Matthias Christian Loosli</t>
  </si>
  <si>
    <t>Sager 251</t>
  </si>
  <si>
    <t>CHE-254.254.184</t>
  </si>
  <si>
    <t>RABOLA AG</t>
  </si>
  <si>
    <t>c/o Dr. Rätus Ernst Böhlen</t>
  </si>
  <si>
    <t>CHE-264.264.584</t>
  </si>
  <si>
    <t>CHE-110.110.215</t>
  </si>
  <si>
    <t>CHE-392.392.510</t>
  </si>
  <si>
    <t>Drilang GmbH</t>
  </si>
  <si>
    <t>CHE-244.244.090</t>
  </si>
  <si>
    <t>dietrich-architekten ag</t>
  </si>
  <si>
    <t>J612000</t>
  </si>
  <si>
    <t>Drahtlose Telekommunikation</t>
  </si>
  <si>
    <t>I562900</t>
  </si>
  <si>
    <t>Erbringung sonstiger Verpflegungsdienstleistungen</t>
  </si>
  <si>
    <t>Anderegg Immo Niederbipp AG</t>
  </si>
  <si>
    <t>Marktgasse 46A</t>
  </si>
  <si>
    <t>CHE-444.444.082</t>
  </si>
  <si>
    <t>Basbas AG</t>
  </si>
  <si>
    <t>CHE-440.440.598</t>
  </si>
  <si>
    <t>CrossFit FortyNineZero GmbH</t>
  </si>
  <si>
    <t>CHE-146.146.759</t>
  </si>
  <si>
    <t>CHE-492.492.840</t>
  </si>
  <si>
    <t>Wild Man BBQ Mathys KLG</t>
  </si>
  <si>
    <t>Kaiser 86</t>
  </si>
  <si>
    <t>CHE-424.424.228</t>
  </si>
  <si>
    <t>HS Foodservice GmbH</t>
  </si>
  <si>
    <t>CHE-173.173.924</t>
  </si>
  <si>
    <t>CHE-388.388.886</t>
  </si>
  <si>
    <t>BLOMMERS DESIGN</t>
  </si>
  <si>
    <t>Doktorsträssli 20</t>
  </si>
  <si>
    <t>CHE-322.322.677</t>
  </si>
  <si>
    <t>Mitrovic Transporte</t>
  </si>
  <si>
    <t>Vorstadt 6</t>
  </si>
  <si>
    <t>CHE-275.275.404</t>
  </si>
  <si>
    <t>flexAnesth GmbH</t>
  </si>
  <si>
    <t>CHE-227.227.615</t>
  </si>
  <si>
    <t>CLEANING MANAGEMENT Garcia Chacon</t>
  </si>
  <si>
    <t>CHE-189.189.624</t>
  </si>
  <si>
    <t>Scherer per tuts KMG</t>
  </si>
  <si>
    <t>Wyssbach 144</t>
  </si>
  <si>
    <t>CHE-109.109.731</t>
  </si>
  <si>
    <t>MASTERMIND Consulting, Van Gelderen</t>
  </si>
  <si>
    <t>M722000</t>
  </si>
  <si>
    <t>Forschung und Entwicklung im Bereich Rechts-, Wirtschafts- und Sozialwissenschaften sowie im Bereich Sprach-, Kultur- und Kunstwissenschaften</t>
  </si>
  <si>
    <t>Dammweg 7</t>
  </si>
  <si>
    <t>Jurastrasse 3</t>
  </si>
  <si>
    <t>Hirschegg 6</t>
  </si>
  <si>
    <t>Vordere Hardaustrasse 11</t>
  </si>
  <si>
    <t>CHE-492.492.496</t>
  </si>
  <si>
    <t>Responsibility Schweiz</t>
  </si>
  <si>
    <t>CHE-448.448.397</t>
  </si>
  <si>
    <t>Sägerei Eggimann</t>
  </si>
  <si>
    <t>Bernstrasse 79b</t>
  </si>
  <si>
    <t>CHE-421.421.968</t>
  </si>
  <si>
    <t>Schweizerische Mobiliar Versicherungsgesellschaft, Generalagentur Herzogenbuchsee, Sascha Büttler</t>
  </si>
  <si>
    <t>CHE-213.213.584</t>
  </si>
  <si>
    <t>rita's KIOSK Inh. Künzi</t>
  </si>
  <si>
    <t>Aarwangenstrasse 64a</t>
  </si>
  <si>
    <t>CHE-133.133.958</t>
  </si>
  <si>
    <t>SJ Realinvest GmbH</t>
  </si>
  <si>
    <t>Wiesenstrasse 2</t>
  </si>
  <si>
    <t>CHE-349.349.360</t>
  </si>
  <si>
    <t>Lingg's Management</t>
  </si>
  <si>
    <t>Städtli 10</t>
  </si>
  <si>
    <t>CHE-363.363.017</t>
  </si>
  <si>
    <t>Hesse Consult GmbH</t>
  </si>
  <si>
    <t>Brüschrain 12</t>
  </si>
  <si>
    <t>CHE-341.341.488</t>
  </si>
  <si>
    <t>Bärtschi Bau &amp; Planung</t>
  </si>
  <si>
    <t>Wyssbach 144a</t>
  </si>
  <si>
    <t>CHE-283.283.145</t>
  </si>
  <si>
    <t>praxis 14 ag</t>
  </si>
  <si>
    <t>CHE-436.436.733</t>
  </si>
  <si>
    <t>SuperSauber Anita Wróbel</t>
  </si>
  <si>
    <t>Gässli 4</t>
  </si>
  <si>
    <t>CHE-227.227.046</t>
  </si>
  <si>
    <t>Oppliger Getränke</t>
  </si>
  <si>
    <t>Mumenthalstrasse 48</t>
  </si>
  <si>
    <t>Simon's Collection Inhaber Khokhar</t>
  </si>
  <si>
    <t>Murgenthalstrasse 33c</t>
  </si>
  <si>
    <t>C303000</t>
  </si>
  <si>
    <t>Luft- und Raumfahrzeugbau</t>
  </si>
  <si>
    <t>CHE-162.162.039</t>
  </si>
  <si>
    <t>Gastroengel GmbH</t>
  </si>
  <si>
    <t>Mister Kings GmbH</t>
  </si>
  <si>
    <t>CHE-491.491.508</t>
  </si>
  <si>
    <t>3D-Dänu GmbH</t>
  </si>
  <si>
    <t>Lindenstrasse 13a</t>
  </si>
  <si>
    <t>Schmalzgrubenweg 5</t>
  </si>
  <si>
    <t>CHE-393.393.491</t>
  </si>
  <si>
    <t>HILT GmbH</t>
  </si>
  <si>
    <t>Bodenweg 5</t>
  </si>
  <si>
    <t>Rigert Immobilien AG</t>
  </si>
  <si>
    <t>CHE-280.280.790</t>
  </si>
  <si>
    <t>Stressfrei vom Hof GmbH</t>
  </si>
  <si>
    <t>Biseggmatte 212</t>
  </si>
  <si>
    <t>Gemeinschaftsbetrieb Rotboden KLG</t>
  </si>
  <si>
    <t>CHE-247.247.455</t>
  </si>
  <si>
    <t>BLUE-art Roggegratbad AG</t>
  </si>
  <si>
    <t>Roggegratbad 31</t>
  </si>
  <si>
    <t>N783000</t>
  </si>
  <si>
    <t>Sonstige Überlassung von Arbeitskräften</t>
  </si>
  <si>
    <t>CHE-293.293.126</t>
  </si>
  <si>
    <t>Assembla Montagen AG</t>
  </si>
  <si>
    <t>c/o gruner partner</t>
  </si>
  <si>
    <t>CHE-335.335.374</t>
  </si>
  <si>
    <t>Movecenter GmbH</t>
  </si>
  <si>
    <t>CHE-165.165.476</t>
  </si>
  <si>
    <t>Sara Reinigungen GmbH</t>
  </si>
  <si>
    <t>CHE-170.170.974</t>
  </si>
  <si>
    <t>Lohucasa AG</t>
  </si>
  <si>
    <t>c/o Barbara Elisabeth und Manfred Loosli</t>
  </si>
  <si>
    <t>CHE-406.406.210</t>
  </si>
  <si>
    <t>OST Team GmbH</t>
  </si>
  <si>
    <t>CHE-233.233.394</t>
  </si>
  <si>
    <t>D. MARTIN Holding AG</t>
  </si>
  <si>
    <t>c/o Stuco AG Sicherheits- und Spezialschuhe</t>
  </si>
  <si>
    <t>CHE-108.108.363</t>
  </si>
  <si>
    <t>ERTA Gastro GmbH</t>
  </si>
  <si>
    <t>ELMAR Partner AG</t>
  </si>
  <si>
    <t>CHE-457.457.562</t>
  </si>
  <si>
    <t>Ardeso GmbH</t>
  </si>
  <si>
    <t>CHE-106.106.320</t>
  </si>
  <si>
    <t>Lillys Gastro GmbH</t>
  </si>
  <si>
    <t>CHE-107.107.608</t>
  </si>
  <si>
    <t>Frischherz &amp; Partner AG</t>
  </si>
  <si>
    <t>CHE-433.433.848</t>
  </si>
  <si>
    <t>Ursula Ingold Coaching &amp; Klang</t>
  </si>
  <si>
    <t>c/o Ursula Ingold</t>
  </si>
  <si>
    <t>Burgerweg 17</t>
  </si>
  <si>
    <t>CHE-429.429.912</t>
  </si>
  <si>
    <t>ANC Automobile Abdallah</t>
  </si>
  <si>
    <t>Ernst-Fischer-Weg 10</t>
  </si>
  <si>
    <t>CHE-215.215.580</t>
  </si>
  <si>
    <t>PMH Printmedien&amp;Hardware Wilhelm</t>
  </si>
  <si>
    <t>CHE-269.269.886</t>
  </si>
  <si>
    <t>JJMech GmbH</t>
  </si>
  <si>
    <t>Hintergasse 40</t>
  </si>
  <si>
    <t>CHE-152.152.318</t>
  </si>
  <si>
    <t>zäme-kreativ KlG</t>
  </si>
  <si>
    <t>Bergstrasse 38</t>
  </si>
  <si>
    <t>CHE-151.151.197</t>
  </si>
  <si>
    <t>Mühlemann Agrar GmbH</t>
  </si>
  <si>
    <t>c/o Jürg Mühlemann</t>
  </si>
  <si>
    <t>CHE-204.204.994</t>
  </si>
  <si>
    <t>Marti e-Transporter GmbH</t>
  </si>
  <si>
    <t>c/o Björn Heinrich Marti</t>
  </si>
  <si>
    <t>Pappelweg 8</t>
  </si>
  <si>
    <t>CHE-205.205.559</t>
  </si>
  <si>
    <t>Blühende Seele Stefanie Zurflüh</t>
  </si>
  <si>
    <t>Waldeggweg 2</t>
  </si>
  <si>
    <t>CHE-320.320.007</t>
  </si>
  <si>
    <t>Lustenberger Reisen GmbH</t>
  </si>
  <si>
    <t>CHE-448.448.601</t>
  </si>
  <si>
    <t>Kita Wichteli GmbH</t>
  </si>
  <si>
    <t>c/o Anuschka Gilgen</t>
  </si>
  <si>
    <t>Schörlishäusern 36c</t>
  </si>
  <si>
    <t>CHE-448.448.126</t>
  </si>
  <si>
    <t>SABLA AG</t>
  </si>
  <si>
    <t>CHE-463.463.861</t>
  </si>
  <si>
    <t>TS Fabrikate &amp; Beratung GmbH</t>
  </si>
  <si>
    <t>Brügglisackerweg 19</t>
  </si>
  <si>
    <t>CHE-246.246.523</t>
  </si>
  <si>
    <t>Replex GmbH</t>
  </si>
  <si>
    <t>Unterer Fluhacherweg 3</t>
  </si>
  <si>
    <t>CHE-150.150.482</t>
  </si>
  <si>
    <t>Espace Health Group AG</t>
  </si>
  <si>
    <t>CHE-486.486.083</t>
  </si>
  <si>
    <t>essenziell - Marlene Hubacher</t>
  </si>
  <si>
    <t>S951200</t>
  </si>
  <si>
    <t>Reparatur von Telekommunikationsgeräten</t>
  </si>
  <si>
    <t>CHE-424.424.096</t>
  </si>
  <si>
    <t>patterns2brain GmbH</t>
  </si>
  <si>
    <t>CHE-112.112.440</t>
  </si>
  <si>
    <t>Zahnarzt - Wiedlisbach, Dr. med. dent. Yur-Chung Brogle</t>
  </si>
  <si>
    <t>CHE-158.158.703</t>
  </si>
  <si>
    <t>zuegler.ch, Abohanan</t>
  </si>
  <si>
    <t>Bernstrasse 123</t>
  </si>
  <si>
    <t>CHE-420.420.038</t>
  </si>
  <si>
    <t>Herzensideen GmbH</t>
  </si>
  <si>
    <t>Grubenweg 6</t>
  </si>
  <si>
    <t>CHE-253.253.185</t>
  </si>
  <si>
    <t>HKmamastreetfood Chong</t>
  </si>
  <si>
    <t>Solothurnstrasse 38</t>
  </si>
  <si>
    <t>CHE-465.465.902</t>
  </si>
  <si>
    <t>Hintergasse 8</t>
  </si>
  <si>
    <t>Noxwell Imperiale</t>
  </si>
  <si>
    <t>CHE-181.181.514</t>
  </si>
  <si>
    <t>CHE-491.491.257</t>
  </si>
  <si>
    <t>CHE-406.406.033</t>
  </si>
  <si>
    <t>Muff &amp; Schmutz AG</t>
  </si>
  <si>
    <t>G477502</t>
  </si>
  <si>
    <t>Parfümerien und sonstiger Detailhandel mit kosmetischen Artikeln und Körperpflegemitteln</t>
  </si>
  <si>
    <t>CHE-444.444.141</t>
  </si>
  <si>
    <t>Jungo Design GmbH</t>
  </si>
  <si>
    <t>CHE-130.130.926</t>
  </si>
  <si>
    <t>Daroth GmbH</t>
  </si>
  <si>
    <t>CHE-348.348.350</t>
  </si>
  <si>
    <t>cb Architekten GmbH</t>
  </si>
  <si>
    <t>CHE-388.388.571</t>
  </si>
  <si>
    <t>Garte Zyt GmbH</t>
  </si>
  <si>
    <t>c/o René Seiler</t>
  </si>
  <si>
    <t>Sonnhaldestrasse 31</t>
  </si>
  <si>
    <t>C141402</t>
  </si>
  <si>
    <t>Herstellung von Damen- und Mädchenwäsche</t>
  </si>
  <si>
    <t>C331700</t>
  </si>
  <si>
    <t>Reparatur und Instandhaltung von Fahrzeugen a. n. g.</t>
  </si>
  <si>
    <t>CHE-114.114.868</t>
  </si>
  <si>
    <t>HeCon GmbH</t>
  </si>
  <si>
    <t>CHE-111.111.995</t>
  </si>
  <si>
    <t>Trösch Transporte</t>
  </si>
  <si>
    <t>Moos 183</t>
  </si>
  <si>
    <t>CHE-444.444.961</t>
  </si>
  <si>
    <t>Andrea Huber</t>
  </si>
  <si>
    <t>CHE-431.431.795</t>
  </si>
  <si>
    <t>GOAT ART GmbH</t>
  </si>
  <si>
    <t>CHE-148.148.165</t>
  </si>
  <si>
    <t>San Pamuk</t>
  </si>
  <si>
    <t>CHE-476.476.179</t>
  </si>
  <si>
    <t>Stadelmann Ad interim GmbH</t>
  </si>
  <si>
    <t>CHE-344.344.750</t>
  </si>
  <si>
    <t>Futura Glas AG</t>
  </si>
  <si>
    <t>Meisenweg 11A</t>
  </si>
  <si>
    <t>CHE-293.293.588</t>
  </si>
  <si>
    <t>Lars Lanz Organisationsberatung, Coaching &amp; Consulting</t>
  </si>
  <si>
    <t>Tannenweg 19</t>
  </si>
  <si>
    <t>CHE-267.267.452</t>
  </si>
  <si>
    <t>ATS Kalkulation Gebäudehülle Planung Tom Salvisberg</t>
  </si>
  <si>
    <t>Breitsteinweg 15</t>
  </si>
  <si>
    <t>CHE-134.134.834</t>
  </si>
  <si>
    <t>Life &amp; Management GmbH</t>
  </si>
  <si>
    <t>Gerzmattstrasse 1</t>
  </si>
  <si>
    <t>CHE-381.381.021</t>
  </si>
  <si>
    <t>CHE-270.270.015</t>
  </si>
  <si>
    <t>Uebelhart Haustechnik</t>
  </si>
  <si>
    <t>Bäckerstrasse 3</t>
  </si>
  <si>
    <t>CHE-328.328.979</t>
  </si>
  <si>
    <t>EH precision Hasanovic</t>
  </si>
  <si>
    <t>Buchenweg 10</t>
  </si>
  <si>
    <t>CHE-461.461.274</t>
  </si>
  <si>
    <t>Holzbau Schübi - Beat Schüpbach</t>
  </si>
  <si>
    <t>Waldhaus 71A</t>
  </si>
  <si>
    <t>CHE-305.305.677</t>
  </si>
  <si>
    <t>MertClean Inhaber Reshiti</t>
  </si>
  <si>
    <t>CHE-496.496.059</t>
  </si>
  <si>
    <t>Lepra-Mission Schweiz</t>
  </si>
  <si>
    <t>Bernstrasse 15A</t>
  </si>
  <si>
    <t>CHE-460.460.404</t>
  </si>
  <si>
    <t>Adriana Reinigung Inh. Wajkai Istvan Szabolcs</t>
  </si>
  <si>
    <t>Sonneggstrasse 2</t>
  </si>
  <si>
    <t>CHE-170.170.967</t>
  </si>
  <si>
    <t>Kochtöpfli Holding GmbH</t>
  </si>
  <si>
    <t>c/o Kochtöpfli GmbH</t>
  </si>
  <si>
    <t>CHE-291.291.514</t>
  </si>
  <si>
    <t>Räss Holding AG</t>
  </si>
  <si>
    <t>c/o Räss Trennwände Schränke AG</t>
  </si>
  <si>
    <t>CHE-160.160.741</t>
  </si>
  <si>
    <t>Kiosk Ayouni</t>
  </si>
  <si>
    <t>Unterdorfstrasse 11b</t>
  </si>
  <si>
    <t>CHE-357.357.407</t>
  </si>
  <si>
    <t>Beauty &amp; Relax by Chiara Zoè Renggli</t>
  </si>
  <si>
    <t>CHE-253.253.350</t>
  </si>
  <si>
    <t>Fussballrasenpflege Künzi</t>
  </si>
  <si>
    <t>Weierweg 1A</t>
  </si>
  <si>
    <t>CHE-181.181.080</t>
  </si>
  <si>
    <t>Aare Schweisstechnik GmbH</t>
  </si>
  <si>
    <t>C172900</t>
  </si>
  <si>
    <t>Herstellung von sonstigen Waren aus Papier, Karton und Pappe</t>
  </si>
  <si>
    <t>c/o Anwälte &amp; Notare im Oberaargau AG</t>
  </si>
  <si>
    <t>Berner Sauerkraut AG</t>
  </si>
  <si>
    <t>CHE-216.216.622</t>
  </si>
  <si>
    <t>Milan Flugzeugwerke AG</t>
  </si>
  <si>
    <t>CHE-206.206.117</t>
  </si>
  <si>
    <t>manola GmbH</t>
  </si>
  <si>
    <t>Lanz-Anliker Reitsport AG</t>
  </si>
  <si>
    <t>Allmendstrasse 14</t>
  </si>
  <si>
    <t>Wangenstrasse 66</t>
  </si>
  <si>
    <t>Weingartenstrasse 8</t>
  </si>
  <si>
    <t>CHE-473.473.136</t>
  </si>
  <si>
    <t>Affiliate - Luzhnica</t>
  </si>
  <si>
    <t>Bannfeldstrasse 8</t>
  </si>
  <si>
    <t>CHE-486.486.230</t>
  </si>
  <si>
    <t>ReNa Immo AG</t>
  </si>
  <si>
    <t>c/o NB Technik + Handels AG</t>
  </si>
  <si>
    <t>CHE-260.260.845</t>
  </si>
  <si>
    <t>Denner Partner Wiedlisbach Inh. Driton Murtisi</t>
  </si>
  <si>
    <t>CHE-204.204.219</t>
  </si>
  <si>
    <t>P.O.C. Van Strijen</t>
  </si>
  <si>
    <t>Am Bach 7</t>
  </si>
  <si>
    <t>CHE-378.378.441</t>
  </si>
  <si>
    <t>Graf Krummenacher Partner GmbH</t>
  </si>
  <si>
    <t>Fliederweg 10</t>
  </si>
  <si>
    <t>Huttwilstrasse 58d</t>
  </si>
  <si>
    <t>CHE-193.193.068</t>
  </si>
  <si>
    <t>INSAN Charity Verein (ICV)</t>
  </si>
  <si>
    <t>c/o Nasir Hassan</t>
  </si>
  <si>
    <t>Hauptstrassse 29</t>
  </si>
  <si>
    <t>CHE-197.197.047</t>
  </si>
  <si>
    <t>Kabelbau D Meister GmbH</t>
  </si>
  <si>
    <t>c/o Dylan Meister</t>
  </si>
  <si>
    <t>CHE-301.301.760</t>
  </si>
  <si>
    <t>AM-Fenster GmbH</t>
  </si>
  <si>
    <t>Wydenstrasse 15</t>
  </si>
  <si>
    <t>CHE-415.415.988</t>
  </si>
  <si>
    <t>Ungarische Spezialitäten by Ernö und Anna KLG</t>
  </si>
  <si>
    <t>Galgackerweg 6</t>
  </si>
  <si>
    <t>CHE-283.283.816</t>
  </si>
  <si>
    <t>Soundcoach Hanspeter Walther</t>
  </si>
  <si>
    <t>Spitalgasse 28</t>
  </si>
  <si>
    <t>Oenzweg 7</t>
  </si>
  <si>
    <t>CHE-396.396.736</t>
  </si>
  <si>
    <t>Marcia's Style GmbH</t>
  </si>
  <si>
    <t>CHE-364.364.693</t>
  </si>
  <si>
    <t>Wassererlebnis GmbH</t>
  </si>
  <si>
    <t>CHE-291.291.112</t>
  </si>
  <si>
    <t>Posterframes Group AG</t>
  </si>
  <si>
    <t>c/o Peter Duppenthaler</t>
  </si>
  <si>
    <t>Alte Gjuchstrasse 14</t>
  </si>
  <si>
    <t>CHE-392.392.412</t>
  </si>
  <si>
    <t>TharCars by Kandiah</t>
  </si>
  <si>
    <t>Fuchs Services GmbH</t>
  </si>
  <si>
    <t>CHE-320.320.472</t>
  </si>
  <si>
    <t>Kunz Baureal &amp; Immo GmbH</t>
  </si>
  <si>
    <t>CHE-210.210.566</t>
  </si>
  <si>
    <t>Sahin Holding AG</t>
  </si>
  <si>
    <t>Kirchenfeldweg 1</t>
  </si>
  <si>
    <t>CHE-334.334.679</t>
  </si>
  <si>
    <t>UNIKAT Döner GmbH</t>
  </si>
  <si>
    <t>Bern-Zürichstrasse 49A</t>
  </si>
  <si>
    <t>CHE-109.109.107</t>
  </si>
  <si>
    <t>4insiders Langenthal AG</t>
  </si>
  <si>
    <t>CHE-182.182.207</t>
  </si>
  <si>
    <t>Tim Brandford Fotografie</t>
  </si>
  <si>
    <t>Wangenstrasse 12</t>
  </si>
  <si>
    <t>Ahornweg 3</t>
  </si>
  <si>
    <t>c/o Graf Krummenacher Partner GmbH</t>
  </si>
  <si>
    <t>Mittelstrasse 15</t>
  </si>
  <si>
    <t>CHE-347.347.837</t>
  </si>
  <si>
    <t>EXO Sports AG</t>
  </si>
  <si>
    <t>CHE-292.292.513</t>
  </si>
  <si>
    <t>Rolli's Entsorgung</t>
  </si>
  <si>
    <t>Stöckenstrasse 1</t>
  </si>
  <si>
    <t>CHE-364.364.130</t>
  </si>
  <si>
    <t>Oldag Baumanagement GmbH</t>
  </si>
  <si>
    <t>CHE-316.316.536</t>
  </si>
  <si>
    <t>Agentur Beck</t>
  </si>
  <si>
    <t>St. Urbanstrasse 47A</t>
  </si>
  <si>
    <t>CHE-232.232.708</t>
  </si>
  <si>
    <t>Sandra Muheim</t>
  </si>
  <si>
    <t>Dorf 42</t>
  </si>
  <si>
    <t>CHE-220.220.868</t>
  </si>
  <si>
    <t>Mirawyn GmbH</t>
  </si>
  <si>
    <t>Winkel 14</t>
  </si>
  <si>
    <t>CHE-280.280.137</t>
  </si>
  <si>
    <t>Nik Rindlisbacher - Klavierbauer</t>
  </si>
  <si>
    <t>CHE-263.263.798</t>
  </si>
  <si>
    <t>Valser Service Winkler GmbH</t>
  </si>
  <si>
    <t>Grossmattstrasse 7</t>
  </si>
  <si>
    <t>CHE-163.163.963</t>
  </si>
  <si>
    <t>Honig Traum P. Rewucha</t>
  </si>
  <si>
    <t>CHE-153.153.255</t>
  </si>
  <si>
    <t>PVB Gipserei &amp; Malerei GmbH</t>
  </si>
  <si>
    <t>Länggasse 46</t>
  </si>
  <si>
    <t>CHE-190.190.871</t>
  </si>
  <si>
    <t>NongNang Thai Take Away GmbH</t>
  </si>
  <si>
    <t>CHE-386.386.133</t>
  </si>
  <si>
    <t>Schweden Garage Leu GmbH</t>
  </si>
  <si>
    <t>Häbernbadweg 14</t>
  </si>
  <si>
    <t>CHE-180.180.154</t>
  </si>
  <si>
    <t>Gasthof Bären Verwaltungs GmbH</t>
  </si>
  <si>
    <t>CHE-154.154.391</t>
  </si>
  <si>
    <t>Einrichtungsschlosserei Lüthi</t>
  </si>
  <si>
    <t>Hohmattweg 5</t>
  </si>
  <si>
    <t>CHE-443.443.291</t>
  </si>
  <si>
    <t>Holidog GmbH</t>
  </si>
  <si>
    <t>c/o Olga Hirsbrunner</t>
  </si>
  <si>
    <t>Gründenweg 1</t>
  </si>
  <si>
    <t>CHE-361.361.189</t>
  </si>
  <si>
    <t>KAYA Bau GmbH</t>
  </si>
  <si>
    <t>c/o Ali und Sema Kaya</t>
  </si>
  <si>
    <t>CHE-355.355.070</t>
  </si>
  <si>
    <t>Meraki Coaching &amp; Cleaning GmbH</t>
  </si>
  <si>
    <t>Gasse 2</t>
  </si>
  <si>
    <t>CHE-259.259.823</t>
  </si>
  <si>
    <t>Work &amp; Living Consulting GmbH</t>
  </si>
  <si>
    <t>c/o Alex und Stefanie Bajer</t>
  </si>
  <si>
    <t>Regenhaldenstrasse 20</t>
  </si>
  <si>
    <t>CHE-456.456.478</t>
  </si>
  <si>
    <t>M. Frey Holding AG</t>
  </si>
  <si>
    <t>c/o Johanna Althaus</t>
  </si>
  <si>
    <t>CHE-359.359.661</t>
  </si>
  <si>
    <t>Kurts Imbiss Oase Inh. Gasser</t>
  </si>
  <si>
    <t>CHE-225.225.419</t>
  </si>
  <si>
    <t>B&amp;G Autohandel GmbH</t>
  </si>
  <si>
    <t>CHE-231.231.658</t>
  </si>
  <si>
    <t>Garage Marending GmbH</t>
  </si>
  <si>
    <t>CHE-115.115.108</t>
  </si>
  <si>
    <t>XerCon GmbH</t>
  </si>
  <si>
    <t>Hohlenstrasse 14</t>
  </si>
  <si>
    <t>CHE-284.284.828</t>
  </si>
  <si>
    <t>AGA Bodenbelag GmbH</t>
  </si>
  <si>
    <t>CHE-434.434.966</t>
  </si>
  <si>
    <t>Immo Tschan AG</t>
  </si>
  <si>
    <t>c/o Hans-Ruedi und Mirjam Tschan</t>
  </si>
  <si>
    <t>Bahnweg 2</t>
  </si>
  <si>
    <t>CHE-335.335.751</t>
  </si>
  <si>
    <t>GS Dienstleistungen Gubser</t>
  </si>
  <si>
    <t>Beundenrain 6</t>
  </si>
  <si>
    <t>c/o Walter Signer</t>
  </si>
  <si>
    <t>Eigerweg 7</t>
  </si>
  <si>
    <t>CHE-178.178.355</t>
  </si>
  <si>
    <t>ALR Wealth Management AG</t>
  </si>
  <si>
    <t>CHE-290.290.201</t>
  </si>
  <si>
    <t>websize Zeberli</t>
  </si>
  <si>
    <t>Ghürn 33</t>
  </si>
  <si>
    <t>Leenrütimattweg 8</t>
  </si>
  <si>
    <t>CHE-246.246.949</t>
  </si>
  <si>
    <t>Swiss Software Helden GmbH</t>
  </si>
  <si>
    <t>Berkenstrasse 6</t>
  </si>
  <si>
    <t>Swiss Allround Service Florim Muslija</t>
  </si>
  <si>
    <t>CHE-251.251.435</t>
  </si>
  <si>
    <t>c/o Nicola Klein</t>
  </si>
  <si>
    <t>Hofmattstrasse 3</t>
  </si>
  <si>
    <t>CHE-166.166.367</t>
  </si>
  <si>
    <t>KAD Holding AG</t>
  </si>
  <si>
    <t>Aarefeldweg 10</t>
  </si>
  <si>
    <t>CHE-147.147.308</t>
  </si>
  <si>
    <t>HSW-Solartechnik GmbH</t>
  </si>
  <si>
    <t>CHE-270.270.759</t>
  </si>
  <si>
    <t>IHR SCHREINER Inh. Christen</t>
  </si>
  <si>
    <t>Lotzwilstrasse 8</t>
  </si>
  <si>
    <t>CHE-390.390.345</t>
  </si>
  <si>
    <t>Traber Media</t>
  </si>
  <si>
    <t>Zürichstrasse 94</t>
  </si>
  <si>
    <t>CHE-293.293.952</t>
  </si>
  <si>
    <t>Sabani Elektro</t>
  </si>
  <si>
    <t>CHE-349.349.748</t>
  </si>
  <si>
    <t>Mathys Holding GmbH</t>
  </si>
  <si>
    <t>CHE-305.305.690</t>
  </si>
  <si>
    <t>BSB Holding AG</t>
  </si>
  <si>
    <t>c/o BSB Mechanik AG</t>
  </si>
  <si>
    <t>Musterplatzweg 7</t>
  </si>
  <si>
    <t>Meisenweg 8</t>
  </si>
  <si>
    <t>CHE-188.188.283</t>
  </si>
  <si>
    <t>Olive &amp; Wood GmbH</t>
  </si>
  <si>
    <t>CHE-187.187.947</t>
  </si>
  <si>
    <t>Rent a car &amp; more GmbH</t>
  </si>
  <si>
    <t>CHE-183.183.699</t>
  </si>
  <si>
    <t>Crabston GmbH</t>
  </si>
  <si>
    <t>Städtli 16</t>
  </si>
  <si>
    <t>Bargetzi Grabmalkunst GmbH</t>
  </si>
  <si>
    <t>CHE-455.455.402</t>
  </si>
  <si>
    <t>Paradox Milka Stevanovic</t>
  </si>
  <si>
    <t>Hölzlistrasse 20</t>
  </si>
  <si>
    <t>CHE-446.446.707</t>
  </si>
  <si>
    <t>nadine siegel</t>
  </si>
  <si>
    <t>Juraweg 6</t>
  </si>
  <si>
    <t>CHE-443.443.015</t>
  </si>
  <si>
    <t>Ary Coiffeur, Inh. Hassan</t>
  </si>
  <si>
    <t>CHE-282.282.073</t>
  </si>
  <si>
    <t>Oberhauser Steinmanufaktur GmbH</t>
  </si>
  <si>
    <t>CHE-146.146.508</t>
  </si>
  <si>
    <t>Schenk &amp; Palm AG</t>
  </si>
  <si>
    <t>CHE-318.318.930</t>
  </si>
  <si>
    <t>COOKOONING by Uwe Stockinger</t>
  </si>
  <si>
    <t>Bergstrasse 5</t>
  </si>
  <si>
    <t>CHE-281.281.980</t>
  </si>
  <si>
    <t>Patrick Jordi Medien GmbH</t>
  </si>
  <si>
    <t>Allmengasse 15a</t>
  </si>
  <si>
    <t>CHE-261.261.352</t>
  </si>
  <si>
    <t>Arche Flückigen AG</t>
  </si>
  <si>
    <t>Flückigen 50</t>
  </si>
  <si>
    <t>CHE-400.400.186</t>
  </si>
  <si>
    <t>H. Süess + Co. AG</t>
  </si>
  <si>
    <t>CHE-471.471.465</t>
  </si>
  <si>
    <t>HR Outlet und Liquidationen Owner Hans Peter Richard</t>
  </si>
  <si>
    <t>Gaswerkstrase 35</t>
  </si>
  <si>
    <t>CHE-272.272.309</t>
  </si>
  <si>
    <t>Oschwald Platten AG, Zweigniederlassung Bleienbach</t>
  </si>
  <si>
    <t>c/o Christoph Mathys</t>
  </si>
  <si>
    <t>Langenthalstrasse 27</t>
  </si>
  <si>
    <t>BSH Swiss GmbH</t>
  </si>
  <si>
    <t>Melchnaustrasse 8</t>
  </si>
  <si>
    <t>CHE-226.226.195</t>
  </si>
  <si>
    <t>Sinovation AG</t>
  </si>
  <si>
    <t>Solit Energie AG</t>
  </si>
  <si>
    <t>CHE-456.456.254</t>
  </si>
  <si>
    <t>Pilatuseventures KLG</t>
  </si>
  <si>
    <t>Obere Dürrmühlestrasse 18</t>
  </si>
  <si>
    <t>merkur medien ag</t>
  </si>
  <si>
    <t>CHE-114.114.046</t>
  </si>
  <si>
    <t>Prefa Schweiz Vertriebs AG</t>
  </si>
  <si>
    <t>Leenrütimattweg 1</t>
  </si>
  <si>
    <t>CHE-318.318.276</t>
  </si>
  <si>
    <t>Restaurant Bahnhof Huttwil GmbH</t>
  </si>
  <si>
    <t>HCS Immobilien AG</t>
  </si>
  <si>
    <t>CHE-213.213.907</t>
  </si>
  <si>
    <t>FRM Holding AG</t>
  </si>
  <si>
    <t>coora Architektur AG</t>
  </si>
  <si>
    <t>Schorenstrasse 25b</t>
  </si>
  <si>
    <t>DIMA FM GmbH</t>
  </si>
  <si>
    <t>Gaswerkstrasse 92</t>
  </si>
  <si>
    <t>CHE-136.136.456</t>
  </si>
  <si>
    <t>Mammut Energie AG</t>
  </si>
  <si>
    <t>CHE-405.405.501</t>
  </si>
  <si>
    <t>Teileladen.ch AG</t>
  </si>
  <si>
    <t>Rengershäusern 163</t>
  </si>
  <si>
    <t>CHE-270.270.686</t>
  </si>
  <si>
    <t>SwissFactory Semiconductor AG</t>
  </si>
  <si>
    <t>Serco Retail AG</t>
  </si>
  <si>
    <t>CHE-443.443.862</t>
  </si>
  <si>
    <t>20 M 22 Holding AG</t>
  </si>
  <si>
    <t>c/o Meister Architektur + Innengestaltung AG</t>
  </si>
  <si>
    <t>CHE-297.297.979</t>
  </si>
  <si>
    <t>HCS Beteiligungen AG</t>
  </si>
  <si>
    <t>CHE-486.486.708</t>
  </si>
  <si>
    <t>Vauthey Holding AG</t>
  </si>
  <si>
    <t>c/o Michel und Therese Vauthey</t>
  </si>
  <si>
    <t>Obergasse 32</t>
  </si>
  <si>
    <t>CHE-382.382.092</t>
  </si>
  <si>
    <t>CHE-444.444.562</t>
  </si>
  <si>
    <t>Prefa (Schweiz) AG</t>
  </si>
  <si>
    <t>CHE-410.410.411</t>
  </si>
  <si>
    <t>Rubin Mechanik GmbH</t>
  </si>
  <si>
    <t>CHE-228.228.300</t>
  </si>
  <si>
    <t>Marven AG</t>
  </si>
  <si>
    <t>Weiherweg 48</t>
  </si>
  <si>
    <t>CHE-268.268.202</t>
  </si>
  <si>
    <t>AOUIMRI Alte Pneu Entsorgung</t>
  </si>
  <si>
    <t>Vogelsangweg 35</t>
  </si>
  <si>
    <t>CHE-143.143.686</t>
  </si>
  <si>
    <t>unloqin GmbH</t>
  </si>
  <si>
    <t>Fliederweg 8</t>
  </si>
  <si>
    <t>CHE-484.484.676</t>
  </si>
  <si>
    <t>Fahrvision.ch Besnik Musliu</t>
  </si>
  <si>
    <t>CHE-328.328.280</t>
  </si>
  <si>
    <t>Coiffure Meyer, Inhaberin Fabienne Schneider</t>
  </si>
  <si>
    <t>CHE-434.434.968</t>
  </si>
  <si>
    <t>BONAVI GmbH</t>
  </si>
  <si>
    <t>CHE-366.366.160</t>
  </si>
  <si>
    <t>Er Phoenix</t>
  </si>
  <si>
    <t>Nussbaumweg 1</t>
  </si>
  <si>
    <t>CHE-462.462.063</t>
  </si>
  <si>
    <t>Stiftung Sri Sampradaya</t>
  </si>
  <si>
    <t>c/o Hansruedi Amrein</t>
  </si>
  <si>
    <t>Burgerweg 24</t>
  </si>
  <si>
    <t>Kammernwaldstrasse 2a</t>
  </si>
  <si>
    <t>CHE-432.432.549</t>
  </si>
  <si>
    <t>Snack - World Bellusci</t>
  </si>
  <si>
    <t>CHE-480.480.802</t>
  </si>
  <si>
    <t>Buchsi Bau GmbH</t>
  </si>
  <si>
    <t>CHE-379.379.537</t>
  </si>
  <si>
    <t>Salu Reinigung Inh. Pérez Mendez</t>
  </si>
  <si>
    <t>Burach 26c</t>
  </si>
  <si>
    <t>Breitsteinweg 31</t>
  </si>
  <si>
    <t>Weingartenweg 5</t>
  </si>
  <si>
    <t>CHE-246.246.344</t>
  </si>
  <si>
    <t>Typgenau Kommunikation Vanessa Wieland</t>
  </si>
  <si>
    <t>CHE-133.133.939</t>
  </si>
  <si>
    <t>LUEG AG, Zweigniederlassung Langenthal</t>
  </si>
  <si>
    <t>c/o Patrik Freiburghaus</t>
  </si>
  <si>
    <t>Dorfstrasse 54A</t>
  </si>
  <si>
    <t>CHE-330.330.362</t>
  </si>
  <si>
    <t>BE Invest &amp; Immo AG</t>
  </si>
  <si>
    <t>Baselstrasse 10</t>
  </si>
  <si>
    <t>CHE-381.381.631</t>
  </si>
  <si>
    <t>Globe Mission Schweiz</t>
  </si>
  <si>
    <t>c/o Markus Zaugg</t>
  </si>
  <si>
    <t>Lindenholz 2</t>
  </si>
  <si>
    <t>CHE-408.408.305</t>
  </si>
  <si>
    <t>C11 GmbH</t>
  </si>
  <si>
    <t>c/o Carol Jaggi und Jeffrey Nünlist</t>
  </si>
  <si>
    <t>Baumgarten 59a</t>
  </si>
  <si>
    <t>ProVieh Viehhandel Wymann</t>
  </si>
  <si>
    <t>CHE-219.219.494</t>
  </si>
  <si>
    <t>AUM Baumgartner</t>
  </si>
  <si>
    <t>Gaswerkstrasse 66c</t>
  </si>
  <si>
    <t>CHE-374.374.150</t>
  </si>
  <si>
    <t>Belfanti Entwicklung und Invest AG</t>
  </si>
  <si>
    <t>CHE-189.189.111</t>
  </si>
  <si>
    <t>S + B Gastro GmbH</t>
  </si>
  <si>
    <t>CHE-463.463.361</t>
  </si>
  <si>
    <t>Joules of Joy GmbH</t>
  </si>
  <si>
    <t>Oberdorf 91a</t>
  </si>
  <si>
    <t>CHE-187.187.151</t>
  </si>
  <si>
    <t>Pizza Oregano Coban</t>
  </si>
  <si>
    <t>CHE-439.439.656</t>
  </si>
  <si>
    <t>PM Innovation AG</t>
  </si>
  <si>
    <t>CHE-385.385.146</t>
  </si>
  <si>
    <t>Quickrun GmbH</t>
  </si>
  <si>
    <t>Mittelweg 19</t>
  </si>
  <si>
    <t>Buechholzweg 2</t>
  </si>
  <si>
    <t>Finkenweg 3</t>
  </si>
  <si>
    <t>c/o Garage Lüthi AG Hermiswil, Zweigniederlassung Langenthal</t>
  </si>
  <si>
    <t>Mittelstrasse 20</t>
  </si>
  <si>
    <t>CHE-311.311.038</t>
  </si>
  <si>
    <t>CHE-498.498.306</t>
  </si>
  <si>
    <t>Aaron Meyer AM Electrical Services</t>
  </si>
  <si>
    <t>Cuno Amiet-Strasse 32</t>
  </si>
  <si>
    <t>CHE-332.332.595</t>
  </si>
  <si>
    <t>Restaurant Mamma Mia Burun</t>
  </si>
  <si>
    <t>CHE-218.218.168</t>
  </si>
  <si>
    <t>Brami Holding AG</t>
  </si>
  <si>
    <t>CHE-366.366.027</t>
  </si>
  <si>
    <t>Spring und Rickli GmbH</t>
  </si>
  <si>
    <t>CHE-331.331.326</t>
  </si>
  <si>
    <t>SWISS4LUX AG</t>
  </si>
  <si>
    <t>Niederbippstrasse 13b</t>
  </si>
  <si>
    <t>CHE-366.366.395</t>
  </si>
  <si>
    <t>Uniktrucks GmbH</t>
  </si>
  <si>
    <t>CHE-432.432.286</t>
  </si>
  <si>
    <t>Malarswiss GmbH</t>
  </si>
  <si>
    <t>Unterdorfstrasse 64</t>
  </si>
  <si>
    <t>CHE-136.136.900</t>
  </si>
  <si>
    <t>Beck's Management GmbH</t>
  </si>
  <si>
    <t>CHE-271.271.207</t>
  </si>
  <si>
    <t>Gesundheitspraxis Belinda Gugelmann</t>
  </si>
  <si>
    <t>Untergasse 16c</t>
  </si>
  <si>
    <t>CHE-352.352.985</t>
  </si>
  <si>
    <t>Elithal GmbH</t>
  </si>
  <si>
    <t>CHE-446.446.750</t>
  </si>
  <si>
    <t>Kerveros Keramik Charalampidis</t>
  </si>
  <si>
    <t>Belchenstrasse 5</t>
  </si>
  <si>
    <t>CHE-138.138.011</t>
  </si>
  <si>
    <t>3X Property AG</t>
  </si>
  <si>
    <t>CHE-390.390.528</t>
  </si>
  <si>
    <t>Mastery Holding AG</t>
  </si>
  <si>
    <t>CHE-205.205.286</t>
  </si>
  <si>
    <t>Mahrle-Technik GmbH</t>
  </si>
  <si>
    <t>CHE-237.237.060</t>
  </si>
  <si>
    <t>Innovation Immo AG</t>
  </si>
  <si>
    <t>Häbernbadweg 2</t>
  </si>
  <si>
    <t>CHE-497.497.289</t>
  </si>
  <si>
    <t>FoodLoad GmbH</t>
  </si>
  <si>
    <t>Eiche 7</t>
  </si>
  <si>
    <t>CHE-115.115.427</t>
  </si>
  <si>
    <t>melktechnik emmental gmbh</t>
  </si>
  <si>
    <t>CHE-164.164.731</t>
  </si>
  <si>
    <t>W&amp;M Energie GmbH</t>
  </si>
  <si>
    <t>Braunloch 62</t>
  </si>
  <si>
    <t>CHE-446.446.483</t>
  </si>
  <si>
    <t>IMP GmbH</t>
  </si>
  <si>
    <t>c/o David und Susanne Marmet-Iseli</t>
  </si>
  <si>
    <t>CHE-320.320.635</t>
  </si>
  <si>
    <t>Thanboden KLG</t>
  </si>
  <si>
    <t>Than 29</t>
  </si>
  <si>
    <t>C110700</t>
  </si>
  <si>
    <t>Herstellung von Erfrischungsgetränken; Gewinnung natürlicher Mineralwässer</t>
  </si>
  <si>
    <t>CHE-190.190.011</t>
  </si>
  <si>
    <t>Prushi Gerüstebau GmbH</t>
  </si>
  <si>
    <t>CHE-259.259.134</t>
  </si>
  <si>
    <t>Event-Verein Wynau</t>
  </si>
  <si>
    <t>c/o Werner Zaugg</t>
  </si>
  <si>
    <t>Schützenrain 10</t>
  </si>
  <si>
    <t>CHE-465.465.387</t>
  </si>
  <si>
    <t>Is Tek GmbH</t>
  </si>
  <si>
    <t>CHE-385.385.090</t>
  </si>
  <si>
    <t>R. Benedeczki Bau &amp; Renovationen</t>
  </si>
  <si>
    <t>Dorfstrasse 85</t>
  </si>
  <si>
    <t>Flückiger Baumanagement AG</t>
  </si>
  <si>
    <t>CHE-326.326.652</t>
  </si>
  <si>
    <t>Bienen Haus Kohler GmbH</t>
  </si>
  <si>
    <t>Flurweg 3</t>
  </si>
  <si>
    <t>CHE-364.364.008</t>
  </si>
  <si>
    <t>Carrosserie Schneider Mercedes</t>
  </si>
  <si>
    <t>CHE-287.287.620</t>
  </si>
  <si>
    <t>Restaurant Stääbli To</t>
  </si>
  <si>
    <t>Käsereistrasse 15</t>
  </si>
  <si>
    <t>DERTOUR Suisse AG, Zweigniederlassung Kuoni Reisen, Langenthal</t>
  </si>
  <si>
    <t>CHE-253.253.001</t>
  </si>
  <si>
    <t>Holu Holding AG</t>
  </si>
  <si>
    <t>CHE-497.497.126</t>
  </si>
  <si>
    <t>SINTAGRO M. Eggen</t>
  </si>
  <si>
    <t>C202000</t>
  </si>
  <si>
    <t>Herstellung von Schädlingsbekämpfungs-, Pflanzenschutz- und Desinfektionsmitteln</t>
  </si>
  <si>
    <t>CHE-469.469.218</t>
  </si>
  <si>
    <t>GET-Inox GmbH</t>
  </si>
  <si>
    <t>Obere Dürrmühlestrasse 24</t>
  </si>
  <si>
    <t>CHE-433.433.983</t>
  </si>
  <si>
    <t>Jonas Ingold Holding AG</t>
  </si>
  <si>
    <t>c/o Lüthi + Wyder AG</t>
  </si>
  <si>
    <t>PAN Coaching AG</t>
  </si>
  <si>
    <t>CHE-371.371.242</t>
  </si>
  <si>
    <t>Adayka, Inh. Steiner</t>
  </si>
  <si>
    <t>CHE-247.247.357</t>
  </si>
  <si>
    <t>YASA GmbH</t>
  </si>
  <si>
    <t>c/o LEXA-Wohnmobile AG</t>
  </si>
  <si>
    <t>Bern-Zürichstrasse 49b</t>
  </si>
  <si>
    <t>CHE-402.402.409</t>
  </si>
  <si>
    <t>Swiss Rockstar Holding AG</t>
  </si>
  <si>
    <t>CHE-166.166.242</t>
  </si>
  <si>
    <t>Mailito GmbH</t>
  </si>
  <si>
    <t>Sägeweg 10a</t>
  </si>
  <si>
    <t>CHE-181.181.433</t>
  </si>
  <si>
    <t>AMMAEV Immo AG</t>
  </si>
  <si>
    <t>CHE-223.223.357</t>
  </si>
  <si>
    <t>FG Life Innovation GmbH</t>
  </si>
  <si>
    <t>CHE-400.400.684</t>
  </si>
  <si>
    <t>WESU CleverNet AG Langenthal</t>
  </si>
  <si>
    <t>CHE-275.275.924</t>
  </si>
  <si>
    <t>CIVIS Node GmbH</t>
  </si>
  <si>
    <t>Gässli 18</t>
  </si>
  <si>
    <t>CHE-250.250.038</t>
  </si>
  <si>
    <t>Fleischhandwerk Yannick Clénin GmbH</t>
  </si>
  <si>
    <t>Jurastrasse 7</t>
  </si>
  <si>
    <t>CHE-450.450.243</t>
  </si>
  <si>
    <t>Denise Galasso Coaching</t>
  </si>
  <si>
    <t>c/o Stefan Oberli</t>
  </si>
  <si>
    <t>Althaus 139</t>
  </si>
  <si>
    <t>CHE-217.217.896</t>
  </si>
  <si>
    <t>Roman Styner Custom</t>
  </si>
  <si>
    <t>Aegertenstrasse 28</t>
  </si>
  <si>
    <t>CHE-304.304.396</t>
  </si>
  <si>
    <t>Aare Gebäudehülle AG</t>
  </si>
  <si>
    <t>CHE-113.113.518</t>
  </si>
  <si>
    <t>Aare Kiosk Gökgül</t>
  </si>
  <si>
    <t>CHE-424.424.436</t>
  </si>
  <si>
    <t>Liechti Schreinerarbeiten GmbH</t>
  </si>
  <si>
    <t>Juraweg 2</t>
  </si>
  <si>
    <t>CHE-363.363.338</t>
  </si>
  <si>
    <t>Nefas GmbH</t>
  </si>
  <si>
    <t>CHE-208.208.370</t>
  </si>
  <si>
    <t>Licht-Design GmbH</t>
  </si>
  <si>
    <t>c/o Sandra Deubelbeiss</t>
  </si>
  <si>
    <t>Zälgweg 12</t>
  </si>
  <si>
    <t>CHE-185.185.238</t>
  </si>
  <si>
    <t>CHE-160.160.332</t>
  </si>
  <si>
    <t>Schneider Automobile GmbH</t>
  </si>
  <si>
    <t>CHE-351.351.962</t>
  </si>
  <si>
    <t>Hertig Bauingenieure AG</t>
  </si>
  <si>
    <t>c/o Ulrich und Katharina Hertig</t>
  </si>
  <si>
    <t>Wagnerweg 3</t>
  </si>
  <si>
    <t>CHE-474.474.512</t>
  </si>
  <si>
    <t>XSEH Holding AG</t>
  </si>
  <si>
    <t>c/o XSEH GmbH</t>
  </si>
  <si>
    <t>Bodmengasse 8</t>
  </si>
  <si>
    <t>CHE-290.290.584</t>
  </si>
  <si>
    <t>Bohso KLG</t>
  </si>
  <si>
    <t>paluma E-Commerce Schulz</t>
  </si>
  <si>
    <t>Bleicheweg 4</t>
  </si>
  <si>
    <t>CHE-465.465.029</t>
  </si>
  <si>
    <t>Biometzg AG</t>
  </si>
  <si>
    <t>Dorfstrasse 2</t>
  </si>
  <si>
    <t>CHE-243.243.749</t>
  </si>
  <si>
    <t>BelCore IT GmbH</t>
  </si>
  <si>
    <t>CHE-331.331.556</t>
  </si>
  <si>
    <t>MOMPOWER bei S. Anliker</t>
  </si>
  <si>
    <t>Stutz 95</t>
  </si>
  <si>
    <t>CHE-340.340.212</t>
  </si>
  <si>
    <t>Marc Hurni KLG</t>
  </si>
  <si>
    <t>CHE-247.247.563</t>
  </si>
  <si>
    <t>Gerber Maschinenbau GmbH</t>
  </si>
  <si>
    <t>Hauptstrasse 74</t>
  </si>
  <si>
    <t>CHE-402.402.461</t>
  </si>
  <si>
    <t>Plavidente GmbH</t>
  </si>
  <si>
    <t>Schafrüti 3</t>
  </si>
  <si>
    <t>CHE-222.222.086</t>
  </si>
  <si>
    <t>Kaffee-Fabrik Langenthal GmbH</t>
  </si>
  <si>
    <t>Holu Immobilien AG</t>
  </si>
  <si>
    <t>CHE-243.243.706</t>
  </si>
  <si>
    <t>Canal Care Consulting GmbH</t>
  </si>
  <si>
    <t>Unterer Burgerweg 3</t>
  </si>
  <si>
    <t>CHE-238.238.351</t>
  </si>
  <si>
    <t>Augustinavicius</t>
  </si>
  <si>
    <t>Brunngasse 11</t>
  </si>
  <si>
    <t>CHE-303.303.025</t>
  </si>
  <si>
    <t>CHE-454.454.952</t>
  </si>
  <si>
    <t>Weber Langenthal AG</t>
  </si>
  <si>
    <t>Bützbergstrasse 109</t>
  </si>
  <si>
    <t>CHE-475.475.171</t>
  </si>
  <si>
    <t>Aegelseestrasse 3</t>
  </si>
  <si>
    <t>CHE-384.384.339</t>
  </si>
  <si>
    <t>Felgentech GmbH</t>
  </si>
  <si>
    <t>CHE-435.435.341</t>
  </si>
  <si>
    <t>AUTO EAGLE HODJA</t>
  </si>
  <si>
    <t>CHE-247.247.418</t>
  </si>
  <si>
    <t>Wolino GmbH</t>
  </si>
  <si>
    <t>CHE-417.417.177</t>
  </si>
  <si>
    <t>Gfeller Rent</t>
  </si>
  <si>
    <t>Wangenstrasse 89</t>
  </si>
  <si>
    <t>CHE-225.225.367</t>
  </si>
  <si>
    <t>Burning Tire GmbH</t>
  </si>
  <si>
    <t>Schorenstrasse 14</t>
  </si>
  <si>
    <t>CHE-469.469.511</t>
  </si>
  <si>
    <t>VDB-Security</t>
  </si>
  <si>
    <t>c/o Roger Bürki</t>
  </si>
  <si>
    <t>Schulstrasse 9</t>
  </si>
  <si>
    <t>CHE-434.434.820</t>
  </si>
  <si>
    <t>Autowerkstatt Matthias Bussmann GmbH</t>
  </si>
  <si>
    <t>CHE-485.485.815</t>
  </si>
  <si>
    <t>PHIL SOMMER MEDIA</t>
  </si>
  <si>
    <t>Sonnhalde 35</t>
  </si>
  <si>
    <t>CHE-487.487.016</t>
  </si>
  <si>
    <t>Janick Ryser</t>
  </si>
  <si>
    <t>CHE-116.116.067</t>
  </si>
  <si>
    <t>Verena Dietrich</t>
  </si>
  <si>
    <t>CHE-343.343.732</t>
  </si>
  <si>
    <t>planergie Immo AG</t>
  </si>
  <si>
    <t>CHE-361.361.778</t>
  </si>
  <si>
    <t>Duglotsang SU-MO DAY Asiatisches Restaurant &amp; Take Away</t>
  </si>
  <si>
    <t>CHE-235.235.521</t>
  </si>
  <si>
    <t>FelsenFest Immobilien GmbH</t>
  </si>
  <si>
    <t>CHE-499.499.470</t>
  </si>
  <si>
    <t>Profimill GmbH</t>
  </si>
  <si>
    <t>c/o Zoltán Gábor Kerekes</t>
  </si>
  <si>
    <t>CHE-496.496.235</t>
  </si>
  <si>
    <t>AXA Hauptagentur Philipp Kern</t>
  </si>
  <si>
    <t>Waldhofstrasse 20</t>
  </si>
  <si>
    <t>CHE-477.477.921</t>
  </si>
  <si>
    <t>Tophinke Elektro Kontroll AG</t>
  </si>
  <si>
    <t>Brückenstrasse 2</t>
  </si>
  <si>
    <t>Meyer BlechTechnik AG Herzogenbuchsee</t>
  </si>
  <si>
    <t>CHE-258.258.392</t>
  </si>
  <si>
    <t>Hebammen BB GmbH</t>
  </si>
  <si>
    <t>c/o Elena Käser</t>
  </si>
  <si>
    <t>Wiedlisbachstrasse 1</t>
  </si>
  <si>
    <t>Bleienbachstrasse 24A</t>
  </si>
  <si>
    <t>CHE-165.165.851</t>
  </si>
  <si>
    <t>Genossenschaft Ursenbacher Dorflade</t>
  </si>
  <si>
    <t>c/o Niklaus Leuenberger</t>
  </si>
  <si>
    <t>Hofen 117a</t>
  </si>
  <si>
    <t>CHE-190.190.016</t>
  </si>
  <si>
    <t>SunMan-Tec AG</t>
  </si>
  <si>
    <t>CHE-162.162.417</t>
  </si>
  <si>
    <t>HansWerk GmbH</t>
  </si>
  <si>
    <t>Kasern 12</t>
  </si>
  <si>
    <t>CHE-359.359.597</t>
  </si>
  <si>
    <t>AMMA Schweiz AG</t>
  </si>
  <si>
    <t>Kappeliweg 22</t>
  </si>
  <si>
    <t>CHE-311.311.940</t>
  </si>
  <si>
    <t>Hashemi Motors</t>
  </si>
  <si>
    <t>Bleichestrasse 7</t>
  </si>
  <si>
    <t>CHE-240.240.911</t>
  </si>
  <si>
    <t>Beautybox Müller</t>
  </si>
  <si>
    <t>Dorfstrasse 82</t>
  </si>
  <si>
    <t>CHE-362.362.793</t>
  </si>
  <si>
    <t>Holzgestalter GmbH</t>
  </si>
  <si>
    <t>Pappelweg 4</t>
  </si>
  <si>
    <t>Bernstrasse 71c</t>
  </si>
  <si>
    <t>Eichenweg 14</t>
  </si>
  <si>
    <t>CHE-154.154.563</t>
  </si>
  <si>
    <t>Monica Lobsiger</t>
  </si>
  <si>
    <t>Länggasse 60</t>
  </si>
  <si>
    <t>CHE-374.374.460</t>
  </si>
  <si>
    <t>Taxi Sadaka</t>
  </si>
  <si>
    <t>Sonnweid 223</t>
  </si>
  <si>
    <t>CHE-152.152.858</t>
  </si>
  <si>
    <t>Mamfy by Patrizia Figueroa Rodriguez</t>
  </si>
  <si>
    <t>Höhenweg 18</t>
  </si>
  <si>
    <t>CHE-352.352.764</t>
  </si>
  <si>
    <t>Swiss GU Group GmbH</t>
  </si>
  <si>
    <t>CHE-157.157.782</t>
  </si>
  <si>
    <t>M &amp; A Heizungen GmbH</t>
  </si>
  <si>
    <t>CHE-299.299.040</t>
  </si>
  <si>
    <t>LSN Bedachungen GmbH</t>
  </si>
  <si>
    <t>Riedmatt 37</t>
  </si>
  <si>
    <t>CHE-251.251.451</t>
  </si>
  <si>
    <t>AIS Immo Concept GmbH</t>
  </si>
  <si>
    <t>Wangenstrasse 15</t>
  </si>
  <si>
    <t>CHE-203.203.466</t>
  </si>
  <si>
    <t>VDBH Huttwil GmbH</t>
  </si>
  <si>
    <t>Luzernstrasse 37</t>
  </si>
  <si>
    <t>CHE-345.345.547</t>
  </si>
  <si>
    <t>Stern-Verpackung Inh. Muslija</t>
  </si>
  <si>
    <t>CHE-186.186.042</t>
  </si>
  <si>
    <t>HiveInvest GmbH</t>
  </si>
  <si>
    <t>Städtli 25a</t>
  </si>
  <si>
    <t>CHE-344.344.175</t>
  </si>
  <si>
    <t>Özlem Pamuk Creative</t>
  </si>
  <si>
    <t>Fabrikstrasse 9a</t>
  </si>
  <si>
    <t>CHE-152.152.720</t>
  </si>
  <si>
    <t>YourConceptCar Patrick Lerch</t>
  </si>
  <si>
    <t>Dorfstrasse 40</t>
  </si>
  <si>
    <t>CHE-272.272.944</t>
  </si>
  <si>
    <t>Cleanserv GmbH</t>
  </si>
  <si>
    <t>Thunstettenstrasse 58</t>
  </si>
  <si>
    <t>CHE-242.242.164</t>
  </si>
  <si>
    <t>SMFtech GmbH</t>
  </si>
  <si>
    <t>Sandacherstrasse 9</t>
  </si>
  <si>
    <t>c/o Jetmir Ukshini</t>
  </si>
  <si>
    <t>CHE-297.297.027</t>
  </si>
  <si>
    <t>ACN Rotzetter AG</t>
  </si>
  <si>
    <t>CHE-330.330.020</t>
  </si>
  <si>
    <t>AdventureTech AG</t>
  </si>
  <si>
    <t>C291000</t>
  </si>
  <si>
    <t>Herstellung von Automobilen und Automobilmotoren</t>
  </si>
  <si>
    <t>Deli-Metzg Bichsel &amp; Partner KLG</t>
  </si>
  <si>
    <t>CHE-357.357.268</t>
  </si>
  <si>
    <t>Emoldo - Ericek</t>
  </si>
  <si>
    <t>Brühlweg 16</t>
  </si>
  <si>
    <t>Falkenstrasse 3A</t>
  </si>
  <si>
    <t>CHE-145.145.702</t>
  </si>
  <si>
    <t>ChildRightNow International</t>
  </si>
  <si>
    <t>Weidgasse 2</t>
  </si>
  <si>
    <t>S949903</t>
  </si>
  <si>
    <t>Jugendorganisationen</t>
  </si>
  <si>
    <t>CHE-275.275.509</t>
  </si>
  <si>
    <t>Denner Partner Oberaargau GmbH</t>
  </si>
  <si>
    <t>CHE-257.257.144</t>
  </si>
  <si>
    <t>Physiotherapie Hand in Hand GmbH</t>
  </si>
  <si>
    <t>c/o Regula Corina Wanzenried</t>
  </si>
  <si>
    <t>CHE-216.216.590</t>
  </si>
  <si>
    <t>Halter - Consulting</t>
  </si>
  <si>
    <t>Thanweg 3</t>
  </si>
  <si>
    <t>CHE-373.373.399</t>
  </si>
  <si>
    <t>Auto Boss GmbH</t>
  </si>
  <si>
    <t>Industriestrasse 1c</t>
  </si>
  <si>
    <t>CHE-306.306.917</t>
  </si>
  <si>
    <t>Sibel Ünal Türkdanis &amp; Consulting</t>
  </si>
  <si>
    <t>Hardstrasse 4</t>
  </si>
  <si>
    <t>CHE-423.423.087</t>
  </si>
  <si>
    <t>Physiotherapie GesundBewegt Denise Schweizer</t>
  </si>
  <si>
    <t>CHE-374.374.436</t>
  </si>
  <si>
    <t>Bartlomiej Wróbel Auto SPA ADHD</t>
  </si>
  <si>
    <t>CHE-478.478.595</t>
  </si>
  <si>
    <t>Paintbox Tattoo Wyttenbach</t>
  </si>
  <si>
    <t>CHE-279.279.698</t>
  </si>
  <si>
    <t>C. Bolla GmbH</t>
  </si>
  <si>
    <t>CHE-103.103.958</t>
  </si>
  <si>
    <t>Urnesa AG</t>
  </si>
  <si>
    <t>CHE-365.365.848</t>
  </si>
  <si>
    <t>Darya Coiffeur Inh. Mostafa</t>
  </si>
  <si>
    <t>selfdrive GmbH</t>
  </si>
  <si>
    <t>CHE-370.370.141</t>
  </si>
  <si>
    <t>Helmed GmbH</t>
  </si>
  <si>
    <t>Buchenweg 14</t>
  </si>
  <si>
    <t>CHE-389.389.131</t>
  </si>
  <si>
    <t>Juwelier Birchler</t>
  </si>
  <si>
    <t>Untere Einschlagstrasse 11</t>
  </si>
  <si>
    <t>CHE-492.492.784</t>
  </si>
  <si>
    <t>APS Trockenbau GmbH</t>
  </si>
  <si>
    <t>c/o Adrian Hofstetter</t>
  </si>
  <si>
    <t>Staldenstrasse 31</t>
  </si>
  <si>
    <t>CHE-216.216.072</t>
  </si>
  <si>
    <t>NORD-Tech, Florin Moldovan-Schmocker</t>
  </si>
  <si>
    <t>CHE-175.175.589</t>
  </si>
  <si>
    <t>KS Architektur &amp; Baumanagement GmbH</t>
  </si>
  <si>
    <t>CHE-400.400.486</t>
  </si>
  <si>
    <t>Hausi's Dienstleistungen GmbH</t>
  </si>
  <si>
    <t>CHE-222.222.329</t>
  </si>
  <si>
    <t>We Capture GmbH</t>
  </si>
  <si>
    <t>Eigerweg 10</t>
  </si>
  <si>
    <t>CHE-145.145.168</t>
  </si>
  <si>
    <t>LK - ANDRA GmbH</t>
  </si>
  <si>
    <t>CHE-479.479.660</t>
  </si>
  <si>
    <t>Z-Health by Zobrist</t>
  </si>
  <si>
    <t>CHE-194.194.459</t>
  </si>
  <si>
    <t>LEO MEDIA GmbH</t>
  </si>
  <si>
    <t>CHE-408.408.321</t>
  </si>
  <si>
    <t>FREY Software Design GmbH</t>
  </si>
  <si>
    <t>CHE-337.337.405</t>
  </si>
  <si>
    <t>Cool Umzug, Abohanan</t>
  </si>
  <si>
    <t>Adlerweg 5</t>
  </si>
  <si>
    <t>CHE-497.497.160</t>
  </si>
  <si>
    <t>Nikaj Swiss Unterlagsboden</t>
  </si>
  <si>
    <t>CHE-346.346.570</t>
  </si>
  <si>
    <t>TENTIMESMORE Marketing GmbH</t>
  </si>
  <si>
    <t>Weidgasse 9</t>
  </si>
  <si>
    <t>Reitsportzentrum Thörigen by Christine Baumgartner</t>
  </si>
  <si>
    <t>Bachstrasse 12</t>
  </si>
  <si>
    <t>Schenkstrasse 3</t>
  </si>
  <si>
    <t>CHE-334.334.145</t>
  </si>
  <si>
    <t>Härzwärch Anja Jäggi</t>
  </si>
  <si>
    <t>Dorf 51B</t>
  </si>
  <si>
    <t>CHE-377.377.160</t>
  </si>
  <si>
    <t>Herrmann &amp; Herrmann Transport GmbH</t>
  </si>
  <si>
    <t>Doktorsträssli 5a</t>
  </si>
  <si>
    <t>CHE-465.465.043</t>
  </si>
  <si>
    <t>Christian Guttenberger</t>
  </si>
  <si>
    <t>Untere Einschlagstrasse 15</t>
  </si>
  <si>
    <t>CHE-456.456.612</t>
  </si>
  <si>
    <t>CreARTelier Emel Rosser</t>
  </si>
  <si>
    <t>CHE-430.430.086</t>
  </si>
  <si>
    <t>miiro ag</t>
  </si>
  <si>
    <t>CHE-164.164.626</t>
  </si>
  <si>
    <t>Akel Kiosk</t>
  </si>
  <si>
    <t>CHE-443.443.061</t>
  </si>
  <si>
    <t>Crazaar, Inhaberin Amstad Lea</t>
  </si>
  <si>
    <t>Geissgraben 21</t>
  </si>
  <si>
    <t>CHE-199.199.522</t>
  </si>
  <si>
    <t>CHE-480.480.741</t>
  </si>
  <si>
    <t>Black Pike Favorites GmbH</t>
  </si>
  <si>
    <t>Höhenweg 21</t>
  </si>
  <si>
    <t>CHE-177.177.043</t>
  </si>
  <si>
    <t>Atelier 98 AG</t>
  </si>
  <si>
    <t>Forst 97</t>
  </si>
  <si>
    <t>CHE-347.347.629</t>
  </si>
  <si>
    <t>Coiffure Piffaretti GmbH</t>
  </si>
  <si>
    <t>CHE-152.152.179</t>
  </si>
  <si>
    <t>LLS Real Estate GmbH</t>
  </si>
  <si>
    <t>CHE-438.438.825</t>
  </si>
  <si>
    <t>MICU BAU</t>
  </si>
  <si>
    <t>CHE-444.444.084</t>
  </si>
  <si>
    <t>HOLISTIC IT INTERNATIONAL LTD, London, Zweigniederlassung Wangen an der Aare</t>
  </si>
  <si>
    <t>Städtli 19</t>
  </si>
  <si>
    <t>Portmann Coaching, Mentoring, Consulting</t>
  </si>
  <si>
    <t>Hauptstrasse 54</t>
  </si>
  <si>
    <t>CHE-474.474.908</t>
  </si>
  <si>
    <t>consilium et evolutio GmbH</t>
  </si>
  <si>
    <t>Brunnbachweg 13</t>
  </si>
  <si>
    <t>CHE-207.207.313</t>
  </si>
  <si>
    <t>Grunder + Ruf Immobilien GmbH</t>
  </si>
  <si>
    <t>c/o Charlotte Ruf-Niederhauser</t>
  </si>
  <si>
    <t>Bettenhausenstrasse 22</t>
  </si>
  <si>
    <t>CHE-425.425.555</t>
  </si>
  <si>
    <t>Liechti Trust Office GmbH</t>
  </si>
  <si>
    <t>Bosslochweg 27</t>
  </si>
  <si>
    <t>CHE-355.355.865</t>
  </si>
  <si>
    <t>Die Schweiz isst scharf! KLG</t>
  </si>
  <si>
    <t>C108400</t>
  </si>
  <si>
    <t>Herstellung von Würzmitteln und Saucen</t>
  </si>
  <si>
    <t>CHE-215.215.994</t>
  </si>
  <si>
    <t>KRANLIKER Service AG</t>
  </si>
  <si>
    <t>c/o Barbara Anliker</t>
  </si>
  <si>
    <t>Riedgasse 20</t>
  </si>
  <si>
    <t>CHE-172.172.875</t>
  </si>
  <si>
    <t>Pferde-Services GmbH</t>
  </si>
  <si>
    <t>CHE-158.158.687</t>
  </si>
  <si>
    <t>Café Ascot, Karter</t>
  </si>
  <si>
    <t>CHE-275.275.256</t>
  </si>
  <si>
    <t>wishes come true GmbH</t>
  </si>
  <si>
    <t>CHE-411.411.645</t>
  </si>
  <si>
    <t>Tomeco GmbH</t>
  </si>
  <si>
    <t>CHE-462.462.776</t>
  </si>
  <si>
    <t>Xundheits Mech Inh. Welss</t>
  </si>
  <si>
    <t>Hölzlisackerweg 5</t>
  </si>
  <si>
    <t>CHE-483.483.548</t>
  </si>
  <si>
    <t>VALN Holding AG</t>
  </si>
  <si>
    <t>CHE-421.421.749</t>
  </si>
  <si>
    <t>WEFAM GmbH</t>
  </si>
  <si>
    <t>Sonnhaldestrasse 1a</t>
  </si>
  <si>
    <t>Breitsteinweg 30</t>
  </si>
  <si>
    <t>CHE-114.114.803</t>
  </si>
  <si>
    <t>Qualidess AG</t>
  </si>
  <si>
    <t>CHE-407.407.199</t>
  </si>
  <si>
    <t>Ryser Bauservice GmbH</t>
  </si>
  <si>
    <t>Tulpenweg 41</t>
  </si>
  <si>
    <t>CHE-305.305.207</t>
  </si>
  <si>
    <t>Biedermann Montagen GmbH</t>
  </si>
  <si>
    <t>CHE-324.324.617</t>
  </si>
  <si>
    <t>pheenic's gmbh</t>
  </si>
  <si>
    <t>Feldstrasse 25</t>
  </si>
  <si>
    <t>MCC-TEC AG</t>
  </si>
  <si>
    <t>CHE-144.144.159</t>
  </si>
  <si>
    <t>Dürrenmatt Holding AG</t>
  </si>
  <si>
    <t>c/o Michel Dürrenmatt</t>
  </si>
  <si>
    <t>CHE-286.286.362</t>
  </si>
  <si>
    <t>Wilma AG</t>
  </si>
  <si>
    <t>Studer Sanitär AG</t>
  </si>
  <si>
    <t>CHE-105.105.857</t>
  </si>
  <si>
    <t>Reist Haushaltapparate AG</t>
  </si>
  <si>
    <t>Zeller Immo GmbH</t>
  </si>
  <si>
    <t>Murgenthalstrasse 22</t>
  </si>
  <si>
    <t>CHE-306.306.779</t>
  </si>
  <si>
    <t>Rent Lemp AG</t>
  </si>
  <si>
    <t>Kreuzstrasse 1</t>
  </si>
  <si>
    <t>CHE-299.299.605</t>
  </si>
  <si>
    <t>Osteo Medela Inh. Katarzyna Olenczak-Krystyniak</t>
  </si>
  <si>
    <t>Lerchenweg 3</t>
  </si>
  <si>
    <t>CHE-414.414.808</t>
  </si>
  <si>
    <t>Blackskypictures GmbH</t>
  </si>
  <si>
    <t>Steingasse 25</t>
  </si>
  <si>
    <t>CHE-198.198.925</t>
  </si>
  <si>
    <t>D&amp;G Swiss GmbH</t>
  </si>
  <si>
    <t>CHE-364.364.604</t>
  </si>
  <si>
    <t>M11 Racing Milan Anken</t>
  </si>
  <si>
    <t>Erlibachweg 9</t>
  </si>
  <si>
    <t>CHE-288.288.147</t>
  </si>
  <si>
    <t>uurs umzug und reinigung schweiz GmbH</t>
  </si>
  <si>
    <t>CHE-187.187.611</t>
  </si>
  <si>
    <t>Presto Pizza Oyman</t>
  </si>
  <si>
    <t>CHE-286.286.076</t>
  </si>
  <si>
    <t>NB Fahrzeugbau GmbH</t>
  </si>
  <si>
    <t>CHE-328.328.592</t>
  </si>
  <si>
    <t>4ITALL GmbH</t>
  </si>
  <si>
    <t>Wald 27b</t>
  </si>
  <si>
    <t>CHE-275.275.730</t>
  </si>
  <si>
    <t>Auto Aarwangen GmbH</t>
  </si>
  <si>
    <t>CHE-385.385.334</t>
  </si>
  <si>
    <t>Memo Imbiss GmbH</t>
  </si>
  <si>
    <t>Avosano AG</t>
  </si>
  <si>
    <t>CHE-155.155.458</t>
  </si>
  <si>
    <t>BCS Legal - powered by De Vries</t>
  </si>
  <si>
    <t>CHE-298.298.414</t>
  </si>
  <si>
    <t>Chillertec GmbH</t>
  </si>
  <si>
    <t>Mühlebergstrasse 14</t>
  </si>
  <si>
    <t>CHE-413.413.684</t>
  </si>
  <si>
    <t>Casa Milla Apartments GmbH</t>
  </si>
  <si>
    <t>CHE-406.406.989</t>
  </si>
  <si>
    <t>Abbi34 GmbH</t>
  </si>
  <si>
    <t>CHE-256.256.131</t>
  </si>
  <si>
    <t>Maschinenhandel - Kulms</t>
  </si>
  <si>
    <t>c/o Lukas Heiniger</t>
  </si>
  <si>
    <t>Langenthalstrasse 5</t>
  </si>
  <si>
    <t>CHE-283.283.410</t>
  </si>
  <si>
    <t>Bolli Daniel Ihr Joker GmbH</t>
  </si>
  <si>
    <t>CHE-282.282.650</t>
  </si>
  <si>
    <t>jiosana GmbH</t>
  </si>
  <si>
    <t>CHE-168.168.019</t>
  </si>
  <si>
    <t>Berg-Garage Rütschelen AG</t>
  </si>
  <si>
    <t>CHE-411.411.927</t>
  </si>
  <si>
    <t>AR Generalbau AG</t>
  </si>
  <si>
    <t>Weibelackerweg 2a</t>
  </si>
  <si>
    <t>c/o Yolanda Büschi</t>
  </si>
  <si>
    <t>Buchägertenstrasse 16</t>
  </si>
  <si>
    <t>CHE-395.395.039</t>
  </si>
  <si>
    <t>ACD-Max GmbH</t>
  </si>
  <si>
    <t>CHE-321.321.133</t>
  </si>
  <si>
    <t>Laser Lounge Julia Manolev</t>
  </si>
  <si>
    <t>c/o Loft5 Coiffure Bergamo</t>
  </si>
  <si>
    <t>CHE-138.138.225</t>
  </si>
  <si>
    <t>Altun Holding GmbH</t>
  </si>
  <si>
    <t>c/o ErbilMed GmbH</t>
  </si>
  <si>
    <t>CHE-455.455.376</t>
  </si>
  <si>
    <t>Garage Rupli AG</t>
  </si>
  <si>
    <t>CHE-210.210.059</t>
  </si>
  <si>
    <t>Natur &amp; Spielatelier Langenthal GmbH</t>
  </si>
  <si>
    <t>CHE-472.472.622</t>
  </si>
  <si>
    <t>Zorvito, Inhaber Cuordileone</t>
  </si>
  <si>
    <t>c/o Nils Stark</t>
  </si>
  <si>
    <t>Bergstrasse 8b</t>
  </si>
  <si>
    <t>Gemeindeweid 11</t>
  </si>
  <si>
    <t>eyowana GmbH</t>
  </si>
  <si>
    <t>c/o ProviSI GmbH</t>
  </si>
  <si>
    <t>Jimmy &amp; Anja Events GmbH</t>
  </si>
  <si>
    <t>cn-mobility GmbH</t>
  </si>
  <si>
    <t>c/o Maria-Luisa &amp; Martin Gränicher</t>
  </si>
  <si>
    <t>Alpenstrasse 12</t>
  </si>
  <si>
    <t>A. GABI AG</t>
  </si>
  <si>
    <t>c/o Alla Gabi</t>
  </si>
  <si>
    <t>CHE-130.130.847</t>
  </si>
  <si>
    <t>notfallkurse.ch GmbH</t>
  </si>
  <si>
    <t>Finkenweg 14</t>
  </si>
  <si>
    <t>CHE-235.235.406</t>
  </si>
  <si>
    <t>Deno's Pizza GmbH</t>
  </si>
  <si>
    <t>Bäreggstrasse 19</t>
  </si>
  <si>
    <t>Coiffure CityStyle Rebecca von Allmen</t>
  </si>
  <si>
    <t>Marktgasse 52</t>
  </si>
  <si>
    <t>CHE-391.391.193</t>
  </si>
  <si>
    <t>Mix Garage Stafai</t>
  </si>
  <si>
    <t>Gaswerkstrasse 47</t>
  </si>
  <si>
    <t>CHE-112.112.769</t>
  </si>
  <si>
    <t>LELO GmbH</t>
  </si>
  <si>
    <t>c/o RUF Ärztetreuhand AG</t>
  </si>
  <si>
    <t>CHE-334.334.199</t>
  </si>
  <si>
    <t>VISHAA Collections - Uthayakumar-Rasaiah</t>
  </si>
  <si>
    <t>CHE-153.153.963</t>
  </si>
  <si>
    <t>DG Sanitär + Heizung GmbH</t>
  </si>
  <si>
    <t>Mättenbergstrasse 20</t>
  </si>
  <si>
    <t>CHE-205.205.512</t>
  </si>
  <si>
    <t>GOMMIS GmbH</t>
  </si>
  <si>
    <t>c/o Zeljko Grba</t>
  </si>
  <si>
    <t>Freilandweg 1</t>
  </si>
  <si>
    <t>J Sindi Immobilien AG</t>
  </si>
  <si>
    <t>CHE-489.489.910</t>
  </si>
  <si>
    <t>Bewerbung mit Aussagekraft GmbH</t>
  </si>
  <si>
    <t>CHE-360.360.630</t>
  </si>
  <si>
    <t>RFF Group AG</t>
  </si>
  <si>
    <t>CHE-432.432.341</t>
  </si>
  <si>
    <t>VetSu GmbH</t>
  </si>
  <si>
    <t>CHE-141.141.991</t>
  </si>
  <si>
    <t>Bäckerei-Konditorei Schär GmbH</t>
  </si>
  <si>
    <t>CHE-467.467.230</t>
  </si>
  <si>
    <t>Tergo Invest AG</t>
  </si>
  <si>
    <t>CHE-103.103.968</t>
  </si>
  <si>
    <t>Solit Immobilien AG</t>
  </si>
  <si>
    <t>CHE-370.370.503</t>
  </si>
  <si>
    <t>ABC.Bodytransformation Roos</t>
  </si>
  <si>
    <t>CHE-304.304.896</t>
  </si>
  <si>
    <t>nTs Events GmbH</t>
  </si>
  <si>
    <t>Zollwegli 2</t>
  </si>
  <si>
    <t>CHE-329.329.111</t>
  </si>
  <si>
    <t>SEMPRE PRONTO Inhaber Müller</t>
  </si>
  <si>
    <t>Bergstrasse 14</t>
  </si>
  <si>
    <t>CHE-115.115.093</t>
  </si>
  <si>
    <t>ecm4you ag</t>
  </si>
  <si>
    <t>Darul Erkam Moschee Herzogenbuchsee</t>
  </si>
  <si>
    <t>CHE-135.135.599</t>
  </si>
  <si>
    <t>Gisela's Unterhaltsreinigung Inh. Schneeberger</t>
  </si>
  <si>
    <t>CHE-355.355.554</t>
  </si>
  <si>
    <t>Malerei Bigler GmbH</t>
  </si>
  <si>
    <t>CHE-235.235.107</t>
  </si>
  <si>
    <t>EWeb Trading GmbH</t>
  </si>
  <si>
    <t>Haldenweg 20</t>
  </si>
  <si>
    <t>CHE-246.246.657</t>
  </si>
  <si>
    <t>Zweirad Wyss</t>
  </si>
  <si>
    <t>Tavelweg 8</t>
  </si>
  <si>
    <t>CHE-309.309.045</t>
  </si>
  <si>
    <t>Jacky's Racing GmbH</t>
  </si>
  <si>
    <t>Dorf 52c</t>
  </si>
  <si>
    <t>CHE-450.450.316</t>
  </si>
  <si>
    <t>Süessli inh. Acat</t>
  </si>
  <si>
    <t>CHE-330.330.544</t>
  </si>
  <si>
    <t>Beauty by Tina Hyseni</t>
  </si>
  <si>
    <t>c/o Betina Hyseni</t>
  </si>
  <si>
    <t>Luzernstrasse 7</t>
  </si>
  <si>
    <t>CHE-160.160.686</t>
  </si>
  <si>
    <t>Kaya - Art of Living</t>
  </si>
  <si>
    <t>Jurastrasse 44</t>
  </si>
  <si>
    <t>CHE-178.178.748</t>
  </si>
  <si>
    <t>Balkac Haustechnik GmbH</t>
  </si>
  <si>
    <t>Kuhmattweg 1</t>
  </si>
  <si>
    <t>CHE-223.223.928</t>
  </si>
  <si>
    <t>Loosli Informatik GmbH</t>
  </si>
  <si>
    <t>Klein Select</t>
  </si>
  <si>
    <t>CHE-167.167.973</t>
  </si>
  <si>
    <t>Schang Hutter AG</t>
  </si>
  <si>
    <t>Kirchstrasse 2</t>
  </si>
  <si>
    <t>CHE-138.138.977</t>
  </si>
  <si>
    <t>Bite of Paradise KLG</t>
  </si>
  <si>
    <t>CHE-316.316.848</t>
  </si>
  <si>
    <t>Arm Transporte</t>
  </si>
  <si>
    <t>Holzgasse 9</t>
  </si>
  <si>
    <t>CHE-241.241.640</t>
  </si>
  <si>
    <t>BCBB AG</t>
  </si>
  <si>
    <t>Avosano Industrie Service AG</t>
  </si>
  <si>
    <t>CHE-414.414.550</t>
  </si>
  <si>
    <t>rolf gutknecht-bau.ch</t>
  </si>
  <si>
    <t>Föhrenweg 2</t>
  </si>
  <si>
    <t>CHE-365.365.450</t>
  </si>
  <si>
    <t>RS Beschriftungen R. Salvati</t>
  </si>
  <si>
    <t>Untere Dürrmühlestrasse 1</t>
  </si>
  <si>
    <t>CHE-413.413.898</t>
  </si>
  <si>
    <t>ORCCS Totalunternehmung AG</t>
  </si>
  <si>
    <t>Thunstettenstrasse 28</t>
  </si>
  <si>
    <t>Husmattweg 1</t>
  </si>
  <si>
    <t>CHE-370.370.854</t>
  </si>
  <si>
    <t>CEC Hauswartungen, Moyano Manduca</t>
  </si>
  <si>
    <t>CHE-159.159.723</t>
  </si>
  <si>
    <t>COMO EN CASA, MOYANO MANDUCA</t>
  </si>
  <si>
    <t>Unterholz 14</t>
  </si>
  <si>
    <t>CHE-237.237.330</t>
  </si>
  <si>
    <t>Faff Video Kolaj</t>
  </si>
  <si>
    <t>CHE-435.435.233</t>
  </si>
  <si>
    <t>Art of Hair Coiffure Gsponer GmbH</t>
  </si>
  <si>
    <t>CHE-436.436.052</t>
  </si>
  <si>
    <t>EvoDynamics GmbH</t>
  </si>
  <si>
    <t>CHE-344.344.949</t>
  </si>
  <si>
    <t>Huser Bau- und Transport</t>
  </si>
  <si>
    <t>CHE-135.135.110</t>
  </si>
  <si>
    <t>Kaviani Technoplast</t>
  </si>
  <si>
    <t>Neumattweg 24</t>
  </si>
  <si>
    <t>Turnhallestrasse 2</t>
  </si>
  <si>
    <t>CHE-228.228.325</t>
  </si>
  <si>
    <t>SPBM Piljic</t>
  </si>
  <si>
    <t>CHE-149.149.331</t>
  </si>
  <si>
    <t>Peñaloza Reinigung</t>
  </si>
  <si>
    <t>Brunnhofstrasse 15</t>
  </si>
  <si>
    <t>CHE-374.374.158</t>
  </si>
  <si>
    <t>SORPREZA by Laura Antonia Iseli</t>
  </si>
  <si>
    <t>Cuno Amiet-Strasse 63</t>
  </si>
  <si>
    <t>CHE-419.419.378</t>
  </si>
  <si>
    <t>Array Zero GmbH</t>
  </si>
  <si>
    <t>J582900</t>
  </si>
  <si>
    <t>Verlegen von sonstiger Software</t>
  </si>
  <si>
    <t>Dennliweg 9</t>
  </si>
  <si>
    <t>CHE-339.339.654</t>
  </si>
  <si>
    <t>Familienbegleitung Neurodivergänt Alina Ferraro</t>
  </si>
  <si>
    <t>Rumiweg 5a</t>
  </si>
  <si>
    <t>CHE-345.345.482</t>
  </si>
  <si>
    <t>FSo Consulting Florian Sommer</t>
  </si>
  <si>
    <t>Butzimatt 129</t>
  </si>
  <si>
    <t>CHE-426.426.056</t>
  </si>
  <si>
    <t>Atelier Grütter</t>
  </si>
  <si>
    <t>Bahnhofstrasse 16d</t>
  </si>
  <si>
    <t>CHE-211.211.788</t>
  </si>
  <si>
    <t>La Giulia GmbH</t>
  </si>
  <si>
    <t>Oberdorfweg 5</t>
  </si>
  <si>
    <t>CHE-172.172.476</t>
  </si>
  <si>
    <t>Rietmann Haushaltsgeräte GmbH</t>
  </si>
  <si>
    <t>CHE-331.331.229</t>
  </si>
  <si>
    <t>Szczepkowski Autozubehör</t>
  </si>
  <si>
    <t>Blumenstrasse 2b</t>
  </si>
  <si>
    <t>CHE-411.411.697</t>
  </si>
  <si>
    <t>Majljinda Mehmeti ProFix 360 Reinigung</t>
  </si>
  <si>
    <t>Waldhofstrasse 18</t>
  </si>
  <si>
    <t>CHE-154.154.301</t>
  </si>
  <si>
    <t>MONTI's Pizza Hüsli, Inh. Montunato</t>
  </si>
  <si>
    <t>Bernstrasse 58b</t>
  </si>
  <si>
    <t>CHE-446.446.205</t>
  </si>
  <si>
    <t>Zahnarztpraxis Geissbühler &amp; Nikitovic AG</t>
  </si>
  <si>
    <t>CHE-326.326.767</t>
  </si>
  <si>
    <t>Healthmg GmbH</t>
  </si>
  <si>
    <t>CHE-202.202.762</t>
  </si>
  <si>
    <t>AUTOMATA GmbH</t>
  </si>
  <si>
    <t>c/o Manuela und Adrian Steiner</t>
  </si>
  <si>
    <t>Tannen 21</t>
  </si>
  <si>
    <t>CHE-456.456.971</t>
  </si>
  <si>
    <t>Fit Accessories Hochuli</t>
  </si>
  <si>
    <t>Quellenweg 16</t>
  </si>
  <si>
    <t>CHE-399.399.923</t>
  </si>
  <si>
    <t>Burri Coiffeurbedarf GmbH</t>
  </si>
  <si>
    <t>CHE-450.450.745</t>
  </si>
  <si>
    <t>Weyermann Services</t>
  </si>
  <si>
    <t>Langenthalstrasse 81</t>
  </si>
  <si>
    <t>CHE-361.361.913</t>
  </si>
  <si>
    <t>Profsa Mori</t>
  </si>
  <si>
    <t>Schürliacker 10</t>
  </si>
  <si>
    <t>CHE-354.354.799</t>
  </si>
  <si>
    <t>c/o Aarsana Physiotherapie GmbH</t>
  </si>
  <si>
    <t>CHE-360.360.176</t>
  </si>
  <si>
    <t>HaarMonie Lotzwil GmbH</t>
  </si>
  <si>
    <t>c/o Rudolf Gerber</t>
  </si>
  <si>
    <t>Heidenmoosstrasse 12</t>
  </si>
  <si>
    <t>CHE-336.336.995</t>
  </si>
  <si>
    <t>VTEC Holding GmbH</t>
  </si>
  <si>
    <t>c/o VTEC Electronics GmbH</t>
  </si>
  <si>
    <t>CHE-149.149.194</t>
  </si>
  <si>
    <t>Aydemir Energieberatung GmbH</t>
  </si>
  <si>
    <t>Waldhofstrasse 62</t>
  </si>
  <si>
    <t>CHE-144.144.640</t>
  </si>
  <si>
    <t>Lilac Immotrading GmbH</t>
  </si>
  <si>
    <t>CHE-311.311.582</t>
  </si>
  <si>
    <t>STEMA Beschichtungen GmbH</t>
  </si>
  <si>
    <t>Mühlematte 4</t>
  </si>
  <si>
    <t>CHE-207.207.503</t>
  </si>
  <si>
    <t>Steinfresh Amrein Zentralschweiz</t>
  </si>
  <si>
    <t>Harzacher 53e</t>
  </si>
  <si>
    <t>N812900</t>
  </si>
  <si>
    <t>Reinigung a. n. g.</t>
  </si>
  <si>
    <t>SIDLER AG WERBETECHNIK</t>
  </si>
  <si>
    <t>CHE-380.380.992</t>
  </si>
  <si>
    <t>NP Holding AG</t>
  </si>
  <si>
    <t>CHE-215.215.237</t>
  </si>
  <si>
    <t>JGP Group GmbH</t>
  </si>
  <si>
    <t>CHE-471.471.235</t>
  </si>
  <si>
    <t>Stettler &amp; Roch Architekten KlG</t>
  </si>
  <si>
    <t>CHE-450.450.762</t>
  </si>
  <si>
    <t>Erbil Beteiligungen GmbH</t>
  </si>
  <si>
    <t>CHE-290.290.547</t>
  </si>
  <si>
    <t>Umzug Adler Inh. Ibrahimkhel</t>
  </si>
  <si>
    <t>Anliker Aebi Holding AG</t>
  </si>
  <si>
    <t>c/o Ducksch Anliker AG</t>
  </si>
  <si>
    <t>CHE-109.109.664</t>
  </si>
  <si>
    <t>notfallTraining schweiz nTS GmbH</t>
  </si>
  <si>
    <t>CHE-339.339.780</t>
  </si>
  <si>
    <t>Treiber Strategie &amp; Finanzen</t>
  </si>
  <si>
    <t>Südstrasse 2</t>
  </si>
  <si>
    <t>CHE-186.186.532</t>
  </si>
  <si>
    <t>Walter Media</t>
  </si>
  <si>
    <t>c/o Pál Peter Walter</t>
  </si>
  <si>
    <t>St. Urbanstrasse 36b</t>
  </si>
  <si>
    <t>CHE-237.237.553</t>
  </si>
  <si>
    <t>Diehlmann Partner</t>
  </si>
  <si>
    <t>c/o pheenic's gmbh</t>
  </si>
  <si>
    <t>Büntenweg 1</t>
  </si>
  <si>
    <t>ProviSI GmbH</t>
  </si>
  <si>
    <t>CHE-477.477.620</t>
  </si>
  <si>
    <t>HaFa GmbH</t>
  </si>
  <si>
    <t>c/o Martin Habegger</t>
  </si>
  <si>
    <t>St. Urbanstrasse 24</t>
  </si>
  <si>
    <t>innoCAR GmbH</t>
  </si>
  <si>
    <t>c/o, Regionalspital Langenthal</t>
  </si>
  <si>
    <t>CHE-254.254.613</t>
  </si>
  <si>
    <t>FE Automobile &amp; Transport GmbH</t>
  </si>
  <si>
    <t>CHE-166.166.016</t>
  </si>
  <si>
    <t>Boss Investment AG</t>
  </si>
  <si>
    <t>CHE-462.462.373</t>
  </si>
  <si>
    <t>SAROBE Holding GmbH</t>
  </si>
  <si>
    <t>CHE-289.289.261</t>
  </si>
  <si>
    <t>Möbelnest Vogel</t>
  </si>
  <si>
    <t>Sonneggweg 2</t>
  </si>
  <si>
    <t>CHE-175.175.675</t>
  </si>
  <si>
    <t>Podologie Yellow AG</t>
  </si>
  <si>
    <t>CHE-336.336.366</t>
  </si>
  <si>
    <t>Sneper GmbH</t>
  </si>
  <si>
    <t>Aengistrasse 22</t>
  </si>
  <si>
    <t>Schärer Dienstleistungs und Handels GmbH in Liquidation</t>
  </si>
  <si>
    <t>CHE-144.144.161</t>
  </si>
  <si>
    <t>Dhollandia-Vertretung AG</t>
  </si>
  <si>
    <t>MOTOREX-BUCHER GROUP AG</t>
  </si>
  <si>
    <t>Oberdorfstr. 71</t>
  </si>
  <si>
    <t>CHE-273.273.331</t>
  </si>
  <si>
    <t>IMS Schlossberg AG</t>
  </si>
  <si>
    <t>Kreuzfeldweg 24</t>
  </si>
  <si>
    <t>CHE-153.153.229</t>
  </si>
  <si>
    <t>Studio La Koa Rohrbach-Grolimund</t>
  </si>
  <si>
    <t>CHE-145.145.273</t>
  </si>
  <si>
    <t>Ankour</t>
  </si>
  <si>
    <t>c/o Ilyas Ankour</t>
  </si>
  <si>
    <t>Zelgliweg 7</t>
  </si>
  <si>
    <t>CHE-223.223.955</t>
  </si>
  <si>
    <t>Corry Care GmbH</t>
  </si>
  <si>
    <t>c/o Kevin und Anina Corry</t>
  </si>
  <si>
    <t>CHE-191.191.085</t>
  </si>
  <si>
    <t>PFR AUTOMOBILE QALLAKAJ</t>
  </si>
  <si>
    <t>Breitsteinweg 29</t>
  </si>
  <si>
    <t>CHE-346.346.442</t>
  </si>
  <si>
    <t>Fresh Finish Bilalli</t>
  </si>
  <si>
    <t>CHE-305.305.815</t>
  </si>
  <si>
    <t>Ofenfrisch Bäckerei GmbH</t>
  </si>
  <si>
    <t>Schmidenmattweg 12</t>
  </si>
  <si>
    <t>CHE-337.337.403</t>
  </si>
  <si>
    <t>sonnentrockner GmbH</t>
  </si>
  <si>
    <t>Gommen 17</t>
  </si>
  <si>
    <t>CHE-346.346.715</t>
  </si>
  <si>
    <t>Buchsi Malerei GmbH</t>
  </si>
  <si>
    <t>CHE-393.393.221</t>
  </si>
  <si>
    <t>New Energy Source GmbH</t>
  </si>
  <si>
    <t>CHE-433.433.816</t>
  </si>
  <si>
    <t>Bron Consulting</t>
  </si>
  <si>
    <t>4 Lives by Kaufmann</t>
  </si>
  <si>
    <t>Spiegelberg 8</t>
  </si>
  <si>
    <t>CHE-142.142.625</t>
  </si>
  <si>
    <t>Nishcom AG</t>
  </si>
  <si>
    <t>Grunholzweg 10</t>
  </si>
  <si>
    <t>CHE-145.145.608</t>
  </si>
  <si>
    <t>Jasiqi Bau</t>
  </si>
  <si>
    <t>Burgerweg 12</t>
  </si>
  <si>
    <t>CHE-396.396.109</t>
  </si>
  <si>
    <t>EDILECA Holding AG</t>
  </si>
  <si>
    <t>Hohlenstrasse 22</t>
  </si>
  <si>
    <t>CHE-296.296.534</t>
  </si>
  <si>
    <t>Kilchmann Cosmetics</t>
  </si>
  <si>
    <t>c/o Heinz Kilchmann</t>
  </si>
  <si>
    <t>Bernstrasse 57</t>
  </si>
  <si>
    <t>CHE-335.335.166</t>
  </si>
  <si>
    <t>MF Wernke Solutions</t>
  </si>
  <si>
    <t>CHE-148.148.857</t>
  </si>
  <si>
    <t>Drücktechnik Wälchli</t>
  </si>
  <si>
    <t>Lanzenbühlweg 7</t>
  </si>
  <si>
    <t>CHE-233.233.403</t>
  </si>
  <si>
    <t>Haldimann &amp; Eifler Reinigungen KlG</t>
  </si>
  <si>
    <t>CHE-358.358.487</t>
  </si>
  <si>
    <t>Primus &amp; Fokus GmbH</t>
  </si>
  <si>
    <t>Ob. Dürrmühlestr. 10</t>
  </si>
  <si>
    <t>CHE-439.439.857</t>
  </si>
  <si>
    <t>Ueli Scherer Immobilien</t>
  </si>
  <si>
    <t>CHE-265.265.964</t>
  </si>
  <si>
    <t>Gerber Plattenarbeiten</t>
  </si>
  <si>
    <t>Kleinfeldweg 2</t>
  </si>
  <si>
    <t>CHE-497.497.935</t>
  </si>
  <si>
    <t>Zum Wiener Inh. Djordjevic</t>
  </si>
  <si>
    <t>Brauihof 18</t>
  </si>
  <si>
    <t>CHE-441.441.676</t>
  </si>
  <si>
    <t>OVIOUS Treuhand GmbH</t>
  </si>
  <si>
    <t>CHE-445.445.871</t>
  </si>
  <si>
    <t>MT Autohandel Mirsad Tahiraj</t>
  </si>
  <si>
    <t>Hinterer Rützelenweg 2b</t>
  </si>
  <si>
    <t>CHE-266.266.887</t>
  </si>
  <si>
    <t>Fernando Rodrigues Soares Ferreira Machado Wellness Solutions</t>
  </si>
  <si>
    <t>Schulhausstrasse 3</t>
  </si>
  <si>
    <t>CHE-407.407.470</t>
  </si>
  <si>
    <t>RYNO DRILLING AG</t>
  </si>
  <si>
    <t>B091000</t>
  </si>
  <si>
    <t>Erbringung von Dienstleistungen für die Gewinnung von Erdöl und Erdgas</t>
  </si>
  <si>
    <t>CHE-216.216.017</t>
  </si>
  <si>
    <t>Lena Bauplanung GmbH</t>
  </si>
  <si>
    <t>Elzweg 2</t>
  </si>
  <si>
    <t>CHE-101.101.686</t>
  </si>
  <si>
    <t>VANCOR GmbH</t>
  </si>
  <si>
    <t>CHE-283.283.923</t>
  </si>
  <si>
    <t>Landhaus Ochsen KLG</t>
  </si>
  <si>
    <t>c/o Gabriela Fuhrer und Jürgen Trecksler</t>
  </si>
  <si>
    <t>Eschenstrasse 2b</t>
  </si>
  <si>
    <t>CHE-342.342.745</t>
  </si>
  <si>
    <t>Central Keramik GmbH</t>
  </si>
  <si>
    <t>Rindermattweg 9</t>
  </si>
  <si>
    <t>CHE-432.432.105</t>
  </si>
  <si>
    <t>b:air AG</t>
  </si>
  <si>
    <t>Gaswerkstrasse 67</t>
  </si>
  <si>
    <t>METLEN GmbH</t>
  </si>
  <si>
    <t>Dorf 1</t>
  </si>
  <si>
    <t>CHE-365.365.223</t>
  </si>
  <si>
    <t>DF Transporte GmbH</t>
  </si>
  <si>
    <t>Hopfenweg 5</t>
  </si>
  <si>
    <t>CHE-315.315.016</t>
  </si>
  <si>
    <t>Smaragd Massage GmbH</t>
  </si>
  <si>
    <t>CHE-166.166.911</t>
  </si>
  <si>
    <t>GNT Solutions by Gentian Nuhiji</t>
  </si>
  <si>
    <t>Friedaustrasse 8</t>
  </si>
  <si>
    <t>CHE-234.234.281</t>
  </si>
  <si>
    <t>Getränke11 GmbH</t>
  </si>
  <si>
    <t>CHE-185.185.804</t>
  </si>
  <si>
    <t>KASAG process GmbH</t>
  </si>
  <si>
    <t>CHE-442.442.276</t>
  </si>
  <si>
    <t>ZeraMed GmbH</t>
  </si>
  <si>
    <t>CHE-153.153.723</t>
  </si>
  <si>
    <t>Bettina Zbinden</t>
  </si>
  <si>
    <t>CHE-427.427.531</t>
  </si>
  <si>
    <t>Hönger Media</t>
  </si>
  <si>
    <t>c/o Julian Hönger</t>
  </si>
  <si>
    <t>CHE-163.163.979</t>
  </si>
  <si>
    <t>Pferdearena CS GmbH</t>
  </si>
  <si>
    <t>CHE-170.170.063</t>
  </si>
  <si>
    <t>olymp management AG</t>
  </si>
  <si>
    <t>CHE-440.440.751</t>
  </si>
  <si>
    <t>Balsiger Immobilien GmbH</t>
  </si>
  <si>
    <t>Mühlebachstrasse 4</t>
  </si>
  <si>
    <t>CHE-338.338.490</t>
  </si>
  <si>
    <t>VAMAC AG</t>
  </si>
  <si>
    <t>CHE-383.383.865</t>
  </si>
  <si>
    <t>Tip-Top Reinigung Celem GmbH</t>
  </si>
  <si>
    <t>Haselweg 8</t>
  </si>
  <si>
    <t>Gassenacherweg 6</t>
  </si>
  <si>
    <t>CHE-462.462.149</t>
  </si>
  <si>
    <t>Chriton GmbH</t>
  </si>
  <si>
    <t>c/o Frei AG Niederbipp</t>
  </si>
  <si>
    <t>CHE-323.323.657</t>
  </si>
  <si>
    <t>Piazza Langenthal AG</t>
  </si>
  <si>
    <t>CHE-299.299.339</t>
  </si>
  <si>
    <t>For Sudan</t>
  </si>
  <si>
    <t>CHE-378.378.133</t>
  </si>
  <si>
    <t>EMILOU AG</t>
  </si>
  <si>
    <t>CHE-131.131.651</t>
  </si>
  <si>
    <t>Universell Coaching Hasler GmbH</t>
  </si>
  <si>
    <t>CHE-455.455.050</t>
  </si>
  <si>
    <t>Trube Langenthal GmbH</t>
  </si>
  <si>
    <t>St. Urbanstrasse 36</t>
  </si>
  <si>
    <t>Huttwilstrasse 27</t>
  </si>
  <si>
    <t>CHE-479.479.050</t>
  </si>
  <si>
    <t>Maler - Gipser Ganibegovic</t>
  </si>
  <si>
    <t>St. Urbanstrasse 36a</t>
  </si>
  <si>
    <t>Kevin's Services GmbH</t>
  </si>
  <si>
    <t>CHE-473.473.474</t>
  </si>
  <si>
    <t>Treuhand + Beratung Scheidegger GmbH</t>
  </si>
  <si>
    <t>CHE-437.437.954</t>
  </si>
  <si>
    <t>LuxCar Rental Inh. Lüdi</t>
  </si>
  <si>
    <t>Langenthalstrasse 79</t>
  </si>
  <si>
    <t>CHE-312.312.698</t>
  </si>
  <si>
    <t>Motos &amp; Wonders KLG</t>
  </si>
  <si>
    <t>c/o Dominik Recktenwald und Paulina Jur'Evna Milke</t>
  </si>
  <si>
    <t>Thörigenstrasse 13</t>
  </si>
  <si>
    <t>CHE-203.203.102</t>
  </si>
  <si>
    <t>mystitch GmbH</t>
  </si>
  <si>
    <t>ErbilMED GmbH</t>
  </si>
  <si>
    <t>CHE-333.333.506</t>
  </si>
  <si>
    <t>SoftFlow GmbH</t>
  </si>
  <si>
    <t>Schulhausstrasse 10</t>
  </si>
  <si>
    <t>Juradorf-Strasse 1</t>
  </si>
  <si>
    <t>CHE-427.427.424</t>
  </si>
  <si>
    <t>Güdel happy food</t>
  </si>
  <si>
    <t>CHE-105.105.998</t>
  </si>
  <si>
    <t>Wirth Gartenbau + Flachdach AG</t>
  </si>
  <si>
    <t>CHE-466.466.272</t>
  </si>
  <si>
    <t>Kehrle Trading</t>
  </si>
  <si>
    <t>Schmidtenweg 6</t>
  </si>
  <si>
    <t>CHE-492.492.298</t>
  </si>
  <si>
    <t>Saturn Energy Abdelrahman</t>
  </si>
  <si>
    <t>Thunstettenstrasse 42</t>
  </si>
  <si>
    <t>CHE-218.218.644</t>
  </si>
  <si>
    <t>Berlin Treuhand &amp; Consulting</t>
  </si>
  <si>
    <t>CHE-294.294.296</t>
  </si>
  <si>
    <t>SCHNEEBERGER RealEstate AG</t>
  </si>
  <si>
    <t>Dorfgasse 71c</t>
  </si>
  <si>
    <t>CHE-458.458.308</t>
  </si>
  <si>
    <t>Samuel Marti</t>
  </si>
  <si>
    <t>Moosackerweg 7</t>
  </si>
  <si>
    <t>CHE-432.432.509</t>
  </si>
  <si>
    <t>enox - Skrobo</t>
  </si>
  <si>
    <t>Bernstrasse 27</t>
  </si>
  <si>
    <t>c/o Miriam Stettler</t>
  </si>
  <si>
    <t>Aeschistrasse 15</t>
  </si>
  <si>
    <t>I551003</t>
  </si>
  <si>
    <t>Verwaltung von Hotels, Gasthöfen und Pensionen</t>
  </si>
  <si>
    <t>CHE-477.477.215</t>
  </si>
  <si>
    <t>MOTOMAK - IVANOVSKI</t>
  </si>
  <si>
    <t>Brennofenstrasse 55</t>
  </si>
  <si>
    <t>CHE-445.445.564</t>
  </si>
  <si>
    <t>Bamert Tech Solutions AG</t>
  </si>
  <si>
    <t>CHE-252.252.398</t>
  </si>
  <si>
    <t>Vali's Garage GmbH</t>
  </si>
  <si>
    <t>CHE-489.489.017</t>
  </si>
  <si>
    <t>Biketec Beteiligungs AG</t>
  </si>
  <si>
    <t>Hausmattstrasse 15</t>
  </si>
  <si>
    <t>CHE-381.381.651</t>
  </si>
  <si>
    <t>DR Solutions GmbH</t>
  </si>
  <si>
    <t>Feldweg 13</t>
  </si>
  <si>
    <t>CHE-463.463.315</t>
  </si>
  <si>
    <t>Neumetall AG</t>
  </si>
  <si>
    <t>CHE-277.277.338</t>
  </si>
  <si>
    <t>GIJ GmbH</t>
  </si>
  <si>
    <t>Byfang 11</t>
  </si>
  <si>
    <t>CHE-140.140.891</t>
  </si>
  <si>
    <t>De Cicco Fabio Spenglerei Bedachungen</t>
  </si>
  <si>
    <t>CHE-163.163.085</t>
  </si>
  <si>
    <t>Coiffeur Lotzwil, Youssef</t>
  </si>
  <si>
    <t>Unterdorf 217</t>
  </si>
  <si>
    <t>CHE-164.164.890</t>
  </si>
  <si>
    <t>cb Liegenschaften AG</t>
  </si>
  <si>
    <t>CHE-190.190.618</t>
  </si>
  <si>
    <t>Traeptau GmbH</t>
  </si>
  <si>
    <t>Flückigen 50e</t>
  </si>
  <si>
    <t>CHE-370.370.264</t>
  </si>
  <si>
    <t>ah communication gmbh</t>
  </si>
  <si>
    <t>Haldenweg 8</t>
  </si>
  <si>
    <t>Smoky Tierbetreuung Inh. Reto Pfister</t>
  </si>
  <si>
    <t>CHE-318.318.947</t>
  </si>
  <si>
    <t>DAVUN Holding AG</t>
  </si>
  <si>
    <t>c/o Solarpunkt 71 AG</t>
  </si>
  <si>
    <t>CHE-442.442.446</t>
  </si>
  <si>
    <t>Viehhandel Zaugg</t>
  </si>
  <si>
    <t>Cuno Amiet-Strasse 26</t>
  </si>
  <si>
    <t>CHE-390.390.293</t>
  </si>
  <si>
    <t>Leinus Recycling GmbH</t>
  </si>
  <si>
    <t>Mumenthalstrasse 17</t>
  </si>
  <si>
    <t>CHE-230.230.018</t>
  </si>
  <si>
    <t>CHE-312.312.211</t>
  </si>
  <si>
    <t>JK Boote GmbH</t>
  </si>
  <si>
    <t>Steingasse 31a</t>
  </si>
  <si>
    <t>CHE-170.170.728</t>
  </si>
  <si>
    <t>Transport &amp; Logistik Zevzet Oglou</t>
  </si>
  <si>
    <t>Roggenweg 2</t>
  </si>
  <si>
    <t>CHE-398.398.489</t>
  </si>
  <si>
    <t>MYLA Langenthal GmbH</t>
  </si>
  <si>
    <t>c/o Beatrice Steinhauser</t>
  </si>
  <si>
    <t>Huttwilstrasse 14</t>
  </si>
  <si>
    <t>CHE-413.413.817</t>
  </si>
  <si>
    <t>Smaili Reinigung</t>
  </si>
  <si>
    <t>Grabenstrasse 49</t>
  </si>
  <si>
    <t>CHE-203.203.346</t>
  </si>
  <si>
    <t>TimeCube GmbH</t>
  </si>
  <si>
    <t>CHE-353.353.804</t>
  </si>
  <si>
    <t>Egger Global Immo GmbH</t>
  </si>
  <si>
    <t>c/o Peter Egger</t>
  </si>
  <si>
    <t>Untergasse 39</t>
  </si>
  <si>
    <t>CHE-416.416.367</t>
  </si>
  <si>
    <t>grome - Manuel Schmidt</t>
  </si>
  <si>
    <t>CHE-484.484.156</t>
  </si>
  <si>
    <t>BB Bautec GmbH</t>
  </si>
  <si>
    <t>CHE-364.364.758</t>
  </si>
  <si>
    <t>LaCantina Pizzeria GmbH</t>
  </si>
  <si>
    <t>CHE-359.359.052</t>
  </si>
  <si>
    <t>IMS Facility Management GmbH</t>
  </si>
  <si>
    <t>CHE-372.372.478</t>
  </si>
  <si>
    <t>Glas Trösch AG, Zweigniederlassung HY-TECH-GLASS</t>
  </si>
  <si>
    <t>Industriestrasse 12</t>
  </si>
  <si>
    <t>CHE-486.486.654</t>
  </si>
  <si>
    <t>Glas Trösch AG, Zweigniederlassung Isolier- und Sicherheitsglas</t>
  </si>
  <si>
    <t>LANGENTHALER BIER AG</t>
  </si>
  <si>
    <t>Reber Land + Haus GmbH</t>
  </si>
  <si>
    <t>CHE-467.467.953</t>
  </si>
  <si>
    <t>Irene Ruckstuhl GmbH</t>
  </si>
  <si>
    <t>CHE-408.408.810</t>
  </si>
  <si>
    <t>Morina Barbershop</t>
  </si>
  <si>
    <t>Obere Dürrmühlestrasse 29</t>
  </si>
  <si>
    <t>CHE-263.263.708</t>
  </si>
  <si>
    <t>marti's gmbh</t>
  </si>
  <si>
    <t>CHE-207.207.735</t>
  </si>
  <si>
    <t>David Gruner Advokatur &amp; Notariat AG</t>
  </si>
  <si>
    <t>CHE-465.465.806</t>
  </si>
  <si>
    <t>First Class, Al-Obaidi</t>
  </si>
  <si>
    <t>CHE-194.194.716</t>
  </si>
  <si>
    <t>Mocra Automobile Palushi</t>
  </si>
  <si>
    <t>CHE-490.490.123</t>
  </si>
  <si>
    <t>Online-Marketing &amp; Vertrieb Haring</t>
  </si>
  <si>
    <t>Humpergstrasse 10</t>
  </si>
  <si>
    <t>CHE-311.311.002</t>
  </si>
  <si>
    <t>SCR Moto Holding GmbH</t>
  </si>
  <si>
    <t>Dennliweg 31A</t>
  </si>
  <si>
    <t>CHE-166.166.276</t>
  </si>
  <si>
    <t>Awesi Holding AG</t>
  </si>
  <si>
    <t>c/o Awero AG</t>
  </si>
  <si>
    <t>Chilefeld-Strasse 8</t>
  </si>
  <si>
    <t>CHE-391.391.877</t>
  </si>
  <si>
    <t>Smartscale NewCo AG</t>
  </si>
  <si>
    <t>CHE-246.246.530</t>
  </si>
  <si>
    <t>FIT-Malerei Mujic</t>
  </si>
  <si>
    <t>Geissbergweg 20a</t>
  </si>
  <si>
    <t>CHE-452.452.210</t>
  </si>
  <si>
    <t>Mimi Autohandel + Transporte Inh. Mitrovic</t>
  </si>
  <si>
    <t>CHE-360.360.753</t>
  </si>
  <si>
    <t>Pädi Staubitzer Workshop</t>
  </si>
  <si>
    <t>Subingenstrasse 1</t>
  </si>
  <si>
    <t>Zürichstrasse 5</t>
  </si>
  <si>
    <t>CHE-221.221.653</t>
  </si>
  <si>
    <t>GPP Holding AG</t>
  </si>
  <si>
    <t>CHE-423.423.044</t>
  </si>
  <si>
    <t>ILLYRIAN WATCHES Zahiri</t>
  </si>
  <si>
    <t>CHE-445.445.168</t>
  </si>
  <si>
    <t>Wärmeverbund Sagiweg AG</t>
  </si>
  <si>
    <t>c/o Urs Duppenthaler</t>
  </si>
  <si>
    <t>Rosenweg 14</t>
  </si>
  <si>
    <t>CHE-239.239.829</t>
  </si>
  <si>
    <t>Blumenladen Langenthal GmbH</t>
  </si>
  <si>
    <t>Farbgasse 9</t>
  </si>
  <si>
    <t>CHE-133.133.705</t>
  </si>
  <si>
    <t>Denfri AG</t>
  </si>
  <si>
    <t>CHE-299.299.827</t>
  </si>
  <si>
    <t>Yaniron GmbH</t>
  </si>
  <si>
    <t>Dennliweg 35c</t>
  </si>
  <si>
    <t>CHE-428.428.714</t>
  </si>
  <si>
    <t>Dönmez</t>
  </si>
  <si>
    <t>Südstrasse 12</t>
  </si>
  <si>
    <t>Ahornstrasse 24</t>
  </si>
  <si>
    <t>CHE-217.217.160</t>
  </si>
  <si>
    <t>Lueur Beauté, Zhivkovich</t>
  </si>
  <si>
    <t>Ringstrasse 59</t>
  </si>
  <si>
    <t>CHE-197.197.731</t>
  </si>
  <si>
    <t>RK Kiosk Shop GmbH</t>
  </si>
  <si>
    <t>CHE-112.112.764</t>
  </si>
  <si>
    <t>Tusk Restaurant, Bar and Lounge Inh. Ajebon</t>
  </si>
  <si>
    <t>CHE-305.305.069</t>
  </si>
  <si>
    <t>Mä2 Immo AG</t>
  </si>
  <si>
    <t>Unterberg 3</t>
  </si>
  <si>
    <t>CHE-138.138.474</t>
  </si>
  <si>
    <t>Müller Promotion GmbH</t>
  </si>
  <si>
    <t>CHE-440.440.508</t>
  </si>
  <si>
    <t>Baki Gartenbau GmbH</t>
  </si>
  <si>
    <t>CHE-494.494.466</t>
  </si>
  <si>
    <t>SJ Kitchen Inh. Loganathan</t>
  </si>
  <si>
    <t>Aarwangenstrasse 7a</t>
  </si>
  <si>
    <t>Wil 18</t>
  </si>
  <si>
    <t>CHE-447.447.689</t>
  </si>
  <si>
    <t>Convita Holzbau GmbH</t>
  </si>
  <si>
    <t>CHE-321.321.896</t>
  </si>
  <si>
    <t>Landtreuhand Sollberger</t>
  </si>
  <si>
    <t>Dorf 4</t>
  </si>
  <si>
    <t>CHE-416.416.349</t>
  </si>
  <si>
    <t>SRA Gastro GmbH</t>
  </si>
  <si>
    <t>CHE-330.330.716</t>
  </si>
  <si>
    <t>miniStop GmbH</t>
  </si>
  <si>
    <t>Zürichstrasse 98</t>
  </si>
  <si>
    <t>Jurastrasse 20</t>
  </si>
  <si>
    <t>c/o Walter Lanz</t>
  </si>
  <si>
    <t>CHE-269.269.347</t>
  </si>
  <si>
    <t>Shabani Allround Services</t>
  </si>
  <si>
    <t>Haldenstrasse 36</t>
  </si>
  <si>
    <t>Arjen GmbH</t>
  </si>
  <si>
    <t>Aeschistrasse 49</t>
  </si>
  <si>
    <t>CHE-192.192.807</t>
  </si>
  <si>
    <t>Psychotherapie Praxis Fabienne Soguel-dit-Piquard GmbH</t>
  </si>
  <si>
    <t>CHE-195.195.790</t>
  </si>
  <si>
    <t>ReWü-Bau GmbH</t>
  </si>
  <si>
    <t>Ahornstrasse 48</t>
  </si>
  <si>
    <t>Hauptstrasse 25</t>
  </si>
  <si>
    <t>Hauptstrasse 43b</t>
  </si>
  <si>
    <t>CHE-468.468.027</t>
  </si>
  <si>
    <t>HammerTime GmbH</t>
  </si>
  <si>
    <t>Schwarzenbachberg 7</t>
  </si>
  <si>
    <t>CHE-171.171.004</t>
  </si>
  <si>
    <t>TAVIVE AG</t>
  </si>
  <si>
    <t>CHE-314.314.303</t>
  </si>
  <si>
    <t>CHE-214.214.899</t>
  </si>
  <si>
    <t>Swiss - Angel Inh. Seitzinger</t>
  </si>
  <si>
    <t>Kleinroth 1a</t>
  </si>
  <si>
    <t>CHE-224.224.535</t>
  </si>
  <si>
    <t>Swiss Customs Tuning KLG</t>
  </si>
  <si>
    <t>c/o Ardi Kaba</t>
  </si>
  <si>
    <t>Weissensteinstrasse 10d</t>
  </si>
  <si>
    <t>Ringstrasse 29</t>
  </si>
  <si>
    <t>CHE-287.287.279</t>
  </si>
  <si>
    <t>EyDe GmbH</t>
  </si>
  <si>
    <t>c/o Eylem und Mazlum Demir</t>
  </si>
  <si>
    <t>CHE-487.487.126</t>
  </si>
  <si>
    <t>Goldenes Ich Flavia Mumenthaler</t>
  </si>
  <si>
    <t>c/o Flavia Mumenthaler</t>
  </si>
  <si>
    <t>c/o Buchsiness GmbH</t>
  </si>
  <si>
    <t>Alvetic GmbH</t>
  </si>
  <si>
    <t>CHE-236.236.478</t>
  </si>
  <si>
    <t>ParaScan Nicole Reber</t>
  </si>
  <si>
    <t>Hogerrütiweg 12</t>
  </si>
  <si>
    <t>CHE-267.267.249</t>
  </si>
  <si>
    <t>Drohnendienstleistung Flückiger GmbH</t>
  </si>
  <si>
    <t>Lochmühleweg 27</t>
  </si>
  <si>
    <t>CHE-495.495.244</t>
  </si>
  <si>
    <t>MM - Meister Holding AG</t>
  </si>
  <si>
    <t>CHE-434.434.016</t>
  </si>
  <si>
    <t>Riesen Holzbau Immo AG</t>
  </si>
  <si>
    <t>CHE-478.478.991</t>
  </si>
  <si>
    <t>Lanthal Parkett GmbH</t>
  </si>
  <si>
    <t>CHE-339.339.319</t>
  </si>
  <si>
    <t>Hofmann Holding AG</t>
  </si>
  <si>
    <t>CHE-146.146.197</t>
  </si>
  <si>
    <t>Bar Billard Gaglia</t>
  </si>
  <si>
    <t>Tulpenweg 30</t>
  </si>
  <si>
    <t>HMO plus Betriebsorganisation AG</t>
  </si>
  <si>
    <t>CHE-307.307.039</t>
  </si>
  <si>
    <t>Auktionshaus-Galerie Senn, Inh. Birchler</t>
  </si>
  <si>
    <t>ACN Auto AG</t>
  </si>
  <si>
    <t>CHE-293.293.333</t>
  </si>
  <si>
    <t>chNetBar Nicole Bürki</t>
  </si>
  <si>
    <t>EcoStreet AG</t>
  </si>
  <si>
    <t>CHE-373.373.315</t>
  </si>
  <si>
    <t>Gastro Meister KLG</t>
  </si>
  <si>
    <t>CHE-259.259.320</t>
  </si>
  <si>
    <t>WoodLodge AG</t>
  </si>
  <si>
    <t>CHE-475.475.257</t>
  </si>
  <si>
    <t>Liyame Gastro GmbH</t>
  </si>
  <si>
    <t>CHE-399.399.262</t>
  </si>
  <si>
    <t>Respocean</t>
  </si>
  <si>
    <t>c/o Markus Ruf</t>
  </si>
  <si>
    <t>Blumenweg 8a</t>
  </si>
  <si>
    <t>CHE-297.297.259</t>
  </si>
  <si>
    <t>retika GmbH</t>
  </si>
  <si>
    <t>CHE-107.107.617</t>
  </si>
  <si>
    <t>SignWrite / Michael Bader</t>
  </si>
  <si>
    <t>Alte Bernstrasse 4</t>
  </si>
  <si>
    <t>CHE-359.359.973</t>
  </si>
  <si>
    <t>MeBa Dach GmbH</t>
  </si>
  <si>
    <t>Jurastrasse 21a</t>
  </si>
  <si>
    <t>CHE-435.435.781</t>
  </si>
  <si>
    <t>Toni Bau &amp; Umbau GmbH</t>
  </si>
  <si>
    <t>CHE-285.285.696</t>
  </si>
  <si>
    <t>AKSAK GmbH</t>
  </si>
  <si>
    <t>Inkwilstrasse 2</t>
  </si>
  <si>
    <t>CHE-339.339.869</t>
  </si>
  <si>
    <t>ProfSa GmbH</t>
  </si>
  <si>
    <t>c/o Urs Christoph Mori</t>
  </si>
  <si>
    <t>CHE-168.168.200</t>
  </si>
  <si>
    <t>CHE-332.332.412</t>
  </si>
  <si>
    <t>Notariat &amp; Advokatur Langenthal AG</t>
  </si>
  <si>
    <t>Engermatte 14</t>
  </si>
  <si>
    <t>CHE-246.246.072</t>
  </si>
  <si>
    <t>Vino KiSa Inh. Kebel</t>
  </si>
  <si>
    <t>Schulhausstrasse 32</t>
  </si>
  <si>
    <t>CHE-222.222.037</t>
  </si>
  <si>
    <t>Yilmaz Automobile</t>
  </si>
  <si>
    <t>Schmidtenweg 2</t>
  </si>
  <si>
    <t>CHE-316.316.594</t>
  </si>
  <si>
    <t>Swiss Fast Change von Leon Zanni</t>
  </si>
  <si>
    <t>Mattenweg 17</t>
  </si>
  <si>
    <t>ATA Gabrko Haj Hussein</t>
  </si>
  <si>
    <t>CHE-112.112.996</t>
  </si>
  <si>
    <t>KRCars GmbH</t>
  </si>
  <si>
    <t>Hirsere, Roger Duss</t>
  </si>
  <si>
    <t>Hirsernbad 102</t>
  </si>
  <si>
    <t>CHE-221.221.384</t>
  </si>
  <si>
    <t>Radiologie Berner Oberland AG</t>
  </si>
  <si>
    <t>CHE-471.471.073</t>
  </si>
  <si>
    <t>Marcel Friedli Retail GmbH</t>
  </si>
  <si>
    <t>ASM Real Estate &amp; Living AG</t>
  </si>
  <si>
    <t>CHE-256.256.933</t>
  </si>
  <si>
    <t>Mservices Marcin Siedler</t>
  </si>
  <si>
    <t>Chlyrotstrasse 14</t>
  </si>
  <si>
    <t>CHE-170.170.755</t>
  </si>
  <si>
    <t>Garage Griffo GmbH</t>
  </si>
  <si>
    <t>Oberdorf 93b</t>
  </si>
  <si>
    <t>CHE-105.105.037</t>
  </si>
  <si>
    <t>InnoRat GmbH</t>
  </si>
  <si>
    <t>CHE-303.303.719</t>
  </si>
  <si>
    <t>MB DachTechnik GmbH</t>
  </si>
  <si>
    <t>Porzellanstrasse 3</t>
  </si>
  <si>
    <t>CHE-190.190.698</t>
  </si>
  <si>
    <t>A &amp; S Hofer GmbH</t>
  </si>
  <si>
    <t>c/o Hofer Gastro GmbH</t>
  </si>
  <si>
    <t>CHE-233.233.458</t>
  </si>
  <si>
    <t>r.egger gmbh</t>
  </si>
  <si>
    <t>c/o Rudolf Gygax</t>
  </si>
  <si>
    <t>Oberschnerzenbach 80</t>
  </si>
  <si>
    <t>CHE-268.268.083</t>
  </si>
  <si>
    <t>CHE-303.303.305</t>
  </si>
  <si>
    <t>WAE Consulting GmbH</t>
  </si>
  <si>
    <t>TOP Holding GmbH</t>
  </si>
  <si>
    <t>c/o 3X Property AG</t>
  </si>
  <si>
    <t>CHE-242.242.442</t>
  </si>
  <si>
    <t>Ortholabor Freudiger GmbH</t>
  </si>
  <si>
    <t>Ringstrasse 17</t>
  </si>
  <si>
    <t>CHE-209.209.061</t>
  </si>
  <si>
    <t>Country-Pet Schmied</t>
  </si>
  <si>
    <t>Winkel 1</t>
  </si>
  <si>
    <t>CHE-209.209.908</t>
  </si>
  <si>
    <t>GlanzTech Pulverbeschichtungen GmbH</t>
  </si>
  <si>
    <t>Langenthalstrasse 8a</t>
  </si>
  <si>
    <t>CHE-321.321.855</t>
  </si>
  <si>
    <t>Fundaris GmbH</t>
  </si>
  <si>
    <t>Baumgartenstrasse 28</t>
  </si>
  <si>
    <t>Brennofenstrasse 1</t>
  </si>
  <si>
    <t>CHE-308.308.384</t>
  </si>
  <si>
    <t>Huber-Consulting</t>
  </si>
  <si>
    <t>CHE-465.465.555</t>
  </si>
  <si>
    <t>180 Grad AG</t>
  </si>
  <si>
    <t>Rüttistaldenstrasse 18</t>
  </si>
  <si>
    <t>CHE-290.290.550</t>
  </si>
  <si>
    <t>Affolter Dental AG</t>
  </si>
  <si>
    <t>CHE-284.284.605</t>
  </si>
  <si>
    <t>mafr gmbh</t>
  </si>
  <si>
    <t>CHE-403.403.731</t>
  </si>
  <si>
    <t>To Campaign</t>
  </si>
  <si>
    <t>Mattenstrasse 8</t>
  </si>
  <si>
    <t>CHE-393.393.077</t>
  </si>
  <si>
    <t>CHE-354.354.496</t>
  </si>
  <si>
    <t>Aurafitness RE GmbH</t>
  </si>
  <si>
    <t>CHE-463.463.577</t>
  </si>
  <si>
    <t>patrik arm gmbh</t>
  </si>
  <si>
    <t>CHE-156.156.956</t>
  </si>
  <si>
    <t>Putzstern Schneeberger GmbH</t>
  </si>
  <si>
    <t>CHE-487.487.791</t>
  </si>
  <si>
    <t>Modellflugzentrum.ch; Darina Brügger</t>
  </si>
  <si>
    <t>CHE-328.328.751</t>
  </si>
  <si>
    <t>MeinHausService GmbH</t>
  </si>
  <si>
    <t>Hauptstrasse 84</t>
  </si>
  <si>
    <t>CHE-271.271.270</t>
  </si>
  <si>
    <t>Alprestaurant Stierenberg Farnern KLG</t>
  </si>
  <si>
    <t>CHE-255.255.742</t>
  </si>
  <si>
    <t>Royal Premium Cars GmbH</t>
  </si>
  <si>
    <t>CHE-405.405.269</t>
  </si>
  <si>
    <t>Schrepf-Log GmbH</t>
  </si>
  <si>
    <t>Wiesenweg 5</t>
  </si>
  <si>
    <t>Mantrailing Mittelland AG</t>
  </si>
  <si>
    <t>Bösi Haustechnik AG</t>
  </si>
  <si>
    <t>CHE-156.156.798</t>
  </si>
  <si>
    <t>Liegenschafts- und Gartenunterhalt B. Howald</t>
  </si>
  <si>
    <t>Hasengasse 2</t>
  </si>
  <si>
    <t>CHE-472.472.863</t>
  </si>
  <si>
    <t>Schneider - Hotelgastro - Consulting</t>
  </si>
  <si>
    <t>Schulstrasse 4</t>
  </si>
  <si>
    <t>I552003</t>
  </si>
  <si>
    <t>Verwaltung von Ferien- und Kollektivunterkünften</t>
  </si>
  <si>
    <t>IKuB vor Ort AG</t>
  </si>
  <si>
    <t>Flugplatz</t>
  </si>
  <si>
    <t>Gewerbestrasse</t>
  </si>
  <si>
    <t>Ziegelbachstrasse 4</t>
  </si>
  <si>
    <t>Rotboden</t>
  </si>
  <si>
    <t>Walke</t>
  </si>
  <si>
    <t>Oberbleuen</t>
  </si>
  <si>
    <t>CHE-103.103.430</t>
  </si>
  <si>
    <t>AF Tissue Expert Switzerland AG</t>
  </si>
  <si>
    <t>Club49 GmbH</t>
  </si>
  <si>
    <t>Dorf</t>
  </si>
  <si>
    <t>"Spycher"-Handwerk AG</t>
  </si>
  <si>
    <t>Rüppiswil</t>
  </si>
  <si>
    <t>CHE-457.457.970</t>
  </si>
  <si>
    <t>Dream Garage by Janik Schneeberger</t>
  </si>
  <si>
    <t>Bachstrasse 16</t>
  </si>
  <si>
    <t>CHE-279.279.732</t>
  </si>
  <si>
    <t>Kornak Ecommerce</t>
  </si>
  <si>
    <t>Gummenweg 5</t>
  </si>
  <si>
    <t>Fuchsweg 8</t>
  </si>
  <si>
    <t>Postzentrum</t>
  </si>
  <si>
    <t>CHE-453.453.294</t>
  </si>
  <si>
    <t>Automobile Center Ajruli</t>
  </si>
  <si>
    <t>Langenthalstrasse 77</t>
  </si>
  <si>
    <t>CHE-231.231.862</t>
  </si>
  <si>
    <t>GMB-Holding GmbH</t>
  </si>
  <si>
    <t>CHE-497.497.367</t>
  </si>
  <si>
    <t>Aurivia AG</t>
  </si>
  <si>
    <t>Buchlistrasse 56</t>
  </si>
  <si>
    <t>Bernstrasse 4a</t>
  </si>
  <si>
    <t>CHE-399.399.956</t>
  </si>
  <si>
    <t>Spezial Kiosk Bartos</t>
  </si>
  <si>
    <t>Buchiackerweg 4</t>
  </si>
  <si>
    <t>Industriestrasse</t>
  </si>
  <si>
    <t>Hangar S, Herzig</t>
  </si>
  <si>
    <t>Flugplatz 5</t>
  </si>
  <si>
    <t>CHE-105.105.613</t>
  </si>
  <si>
    <t>LAKONITA Lizenzbau GmbH</t>
  </si>
  <si>
    <t>Moosbachstrasse 11</t>
  </si>
  <si>
    <t>CHE-289.289.895</t>
  </si>
  <si>
    <t>Samuel Gartenbau GmbH</t>
  </si>
  <si>
    <t>Sonnweg 6</t>
  </si>
  <si>
    <t>CHE-286.286.139</t>
  </si>
  <si>
    <t>Fiuto GmbH</t>
  </si>
  <si>
    <t>CHE-247.247.724</t>
  </si>
  <si>
    <t>Cres Trans, Inhaber Voicu Crestian</t>
  </si>
  <si>
    <t>CHE-474.474.434</t>
  </si>
  <si>
    <t>Bauherz GmbH</t>
  </si>
  <si>
    <t>Schulhausweg 23</t>
  </si>
  <si>
    <t>Vial Automation GmbH</t>
  </si>
  <si>
    <t>CHE-162.162.788</t>
  </si>
  <si>
    <t>CKW Gebäudetechnik AG</t>
  </si>
  <si>
    <t>Spitalstrasse 6</t>
  </si>
  <si>
    <t>CHE-393.393.432</t>
  </si>
  <si>
    <t>holundr. KLG</t>
  </si>
  <si>
    <t>Fabrikstrasse</t>
  </si>
  <si>
    <t>CHE-157.157.760</t>
  </si>
  <si>
    <t>Aurafitness MG GmbH</t>
  </si>
  <si>
    <t>CHE-417.417.329</t>
  </si>
  <si>
    <t>Bärenstark 1848 GmbH</t>
  </si>
  <si>
    <t>CHE-427.427.893</t>
  </si>
  <si>
    <t>Roelma Reinigung Inhaber Palloshi Përparim</t>
  </si>
  <si>
    <t>Breitsteinweg 19</t>
  </si>
  <si>
    <t>CHE-256.256.639</t>
  </si>
  <si>
    <t>EBS Group GmbH</t>
  </si>
  <si>
    <t>c/o Eva Barbara Staub</t>
  </si>
  <si>
    <t>Bühlweg 19</t>
  </si>
  <si>
    <t>CHE-490.490.872</t>
  </si>
  <si>
    <t>Maria Sollberger</t>
  </si>
  <si>
    <t>Haldenstrasse 75</t>
  </si>
  <si>
    <t>CHE-485.485.948</t>
  </si>
  <si>
    <t>Festim Kuqica Automobile</t>
  </si>
  <si>
    <t>Weihergasse 21</t>
  </si>
  <si>
    <t>CHE-341.341.799</t>
  </si>
  <si>
    <t>S&amp;A Real Estate AG</t>
  </si>
  <si>
    <t>CHE-490.490.787</t>
  </si>
  <si>
    <t>Kinzurashvili All-In Gebäudeservice</t>
  </si>
  <si>
    <t>Obergasse 9c</t>
  </si>
  <si>
    <t>CHE-212.212.961</t>
  </si>
  <si>
    <t>Schärme Melchnau AG</t>
  </si>
  <si>
    <t>Heimigen</t>
  </si>
  <si>
    <t>CHE-203.203.505</t>
  </si>
  <si>
    <t>MATUM GMBH</t>
  </si>
  <si>
    <t>Winkel 9</t>
  </si>
  <si>
    <t>CHE-482.482.012</t>
  </si>
  <si>
    <t>Schärme Melchnau Immobilien AG</t>
  </si>
  <si>
    <t>PB Vertriebs GmbH</t>
  </si>
  <si>
    <t>Hauptstrasse</t>
  </si>
  <si>
    <t>CHE-488.488.937</t>
  </si>
  <si>
    <t>TheraPrax GmbH</t>
  </si>
  <si>
    <t>CHE-256.256.456</t>
  </si>
  <si>
    <t>implex generalunternehmung ag</t>
  </si>
  <si>
    <t>CHE-211.211.987</t>
  </si>
  <si>
    <t>agrar.business.leidenschaft. GmbH</t>
  </si>
  <si>
    <t>Hesshaus 68</t>
  </si>
  <si>
    <t>CHE-450.450.501</t>
  </si>
  <si>
    <t>Navin AG</t>
  </si>
  <si>
    <t>CHE-310.310.589</t>
  </si>
  <si>
    <t>Lauflust.ch Leuenberger</t>
  </si>
  <si>
    <t>Metzgermattstrasse 14</t>
  </si>
  <si>
    <t>Neumatt 3</t>
  </si>
  <si>
    <t>Schär Uhren + Schmuck AG</t>
  </si>
  <si>
    <t>Bahnhofstrasse 34</t>
  </si>
  <si>
    <t>CANiMORE Hundesport Roger Rudin</t>
  </si>
  <si>
    <t>CHE-101.101.234</t>
  </si>
  <si>
    <t>LAKONITA - Ausseruniversitäre Forschungsgemeinschaft GmbH</t>
  </si>
  <si>
    <t>Wangenstrasse</t>
  </si>
  <si>
    <t>Brunnenweg 17</t>
  </si>
  <si>
    <t>Winistörfer</t>
  </si>
  <si>
    <t>Zur unteren Mühle</t>
  </si>
  <si>
    <t>Unterdorf</t>
  </si>
  <si>
    <t>Bendihof</t>
  </si>
  <si>
    <t>CHE-288.288.932</t>
  </si>
  <si>
    <t>Lukas Brügger GmbH</t>
  </si>
  <si>
    <t>Oberdorfstrasse 41</t>
  </si>
  <si>
    <t>CHE-479.479.254</t>
  </si>
  <si>
    <t>Ambotec Holding AG</t>
  </si>
  <si>
    <t>Gasthof Leuenberger</t>
  </si>
  <si>
    <t>"Chäs - Fränzi" Beck</t>
  </si>
  <si>
    <t>CHE-266.266.372</t>
  </si>
  <si>
    <t>Universal Iljazi</t>
  </si>
  <si>
    <t>Lagerweg 8b</t>
  </si>
  <si>
    <t>Solura.ch Djurisic</t>
  </si>
  <si>
    <t>Bäreggstrasse 53</t>
  </si>
  <si>
    <t>Aarekraft Physiotherapie GmbH</t>
  </si>
  <si>
    <t>CHE-209.209.167</t>
  </si>
  <si>
    <t>Chutzegarte GmbH</t>
  </si>
  <si>
    <t>c/o Franziska Vollenwyder-Kolb</t>
  </si>
  <si>
    <t>Juraweg 3</t>
  </si>
  <si>
    <t>Dorfplatz</t>
  </si>
  <si>
    <t>Nyffel</t>
  </si>
  <si>
    <t>CHE-216.216.091</t>
  </si>
  <si>
    <t>MindUpNet klg</t>
  </si>
  <si>
    <t>Baumgartenstrasse 30</t>
  </si>
  <si>
    <t>Maiacker</t>
  </si>
  <si>
    <t>Schloss Thunstetten</t>
  </si>
  <si>
    <t>Oberstrasse 3</t>
  </si>
  <si>
    <t>Dürrmühlestrasse</t>
  </si>
  <si>
    <t>CHE-197.197.155</t>
  </si>
  <si>
    <t>V-BAU GmbH</t>
  </si>
  <si>
    <t>Gassenacherweg 1</t>
  </si>
  <si>
    <t>Greter</t>
  </si>
  <si>
    <t>CHE-393.393.223</t>
  </si>
  <si>
    <t>TharCars GmbH</t>
  </si>
  <si>
    <t>CHE-303.303.781</t>
  </si>
  <si>
    <t>MEATROPOLIS Sachmpazov</t>
  </si>
  <si>
    <t>Melchnaustrasse 21</t>
  </si>
  <si>
    <t>CHE-148.148.088</t>
  </si>
  <si>
    <t>CHEZ OSCAR INH. RISS</t>
  </si>
  <si>
    <t>CHE-377.377.376</t>
  </si>
  <si>
    <t>Restaurant im Rank GmbH</t>
  </si>
  <si>
    <t>CHE-315.315.801</t>
  </si>
  <si>
    <t>Solvance GmbH</t>
  </si>
  <si>
    <t>Wangenstrasse 38</t>
  </si>
  <si>
    <t>CHE-133.133.225</t>
  </si>
  <si>
    <t>G &amp; K Gipsergeschäft GmbH</t>
  </si>
  <si>
    <t>Stampfe</t>
  </si>
  <si>
    <t>CHE-133.133.587</t>
  </si>
  <si>
    <t>LeoNiki GmbH</t>
  </si>
  <si>
    <t>CHE-330.330.412</t>
  </si>
  <si>
    <t>BonBonne Herzogenbuchsee GmbH</t>
  </si>
  <si>
    <t>Fabrikstrasse 7b</t>
  </si>
  <si>
    <t>Beundenstrasse</t>
  </si>
  <si>
    <t>CHE-466.466.767</t>
  </si>
  <si>
    <t>Forest-Home GmbH</t>
  </si>
  <si>
    <t>Schwarzenbach 23f</t>
  </si>
  <si>
    <t>CHE-163.163.211</t>
  </si>
  <si>
    <t>Pregaso - Kugi</t>
  </si>
  <si>
    <t>Farbgasse 59</t>
  </si>
  <si>
    <t>C141403</t>
  </si>
  <si>
    <t>Herstellung von Wäsche ohne ausgeprägten Schwerpunkt</t>
  </si>
  <si>
    <t>Aarekraft Holding GmbH</t>
  </si>
  <si>
    <t>CHE-153.153.166</t>
  </si>
  <si>
    <t>Klin Bedachungen</t>
  </si>
  <si>
    <t>c/o Egon Steiner</t>
  </si>
  <si>
    <t>Bahnhofstrasse 102</t>
  </si>
  <si>
    <t>CHE-475.475.262</t>
  </si>
  <si>
    <t>Frauenzentrum Oberaargau AG</t>
  </si>
  <si>
    <t>CHE-322.322.123</t>
  </si>
  <si>
    <t>FS Beteiligungen GmbH</t>
  </si>
  <si>
    <t>CHE-415.415.598</t>
  </si>
  <si>
    <t>Haarkult Daniela Wälti</t>
  </si>
  <si>
    <t>Lotzwilstrasse 32</t>
  </si>
  <si>
    <t>CHE-275.275.266</t>
  </si>
  <si>
    <t>Silkhaus AG</t>
  </si>
  <si>
    <t>Hofackerweg 30</t>
  </si>
  <si>
    <t>CHE-198.198.769</t>
  </si>
  <si>
    <t>Miran Haustechnik Inh. Stanek</t>
  </si>
  <si>
    <t>Bleienbachstrasse 4b</t>
  </si>
  <si>
    <t>CHE-450.450.877</t>
  </si>
  <si>
    <t>V&amp;L Group AG</t>
  </si>
  <si>
    <t>CHE-369.369.823</t>
  </si>
  <si>
    <t>Inathona GmbH</t>
  </si>
  <si>
    <t>Hofmattstrasse 8</t>
  </si>
  <si>
    <t>c/o Martin Schrepfer</t>
  </si>
  <si>
    <t>Eisenbahnstrasse 68</t>
  </si>
  <si>
    <t>CHE-263.263.992</t>
  </si>
  <si>
    <t>Webertransport GmbH</t>
  </si>
  <si>
    <t>Hofmattenweg 2</t>
  </si>
  <si>
    <t>c/o Herr Stefan Meister</t>
  </si>
  <si>
    <t>Sonnrain 24j</t>
  </si>
  <si>
    <t>Stauffenbach</t>
  </si>
  <si>
    <t>Alte Käserei</t>
  </si>
  <si>
    <t>Baschiloch</t>
  </si>
  <si>
    <t>CHE-340.340.627</t>
  </si>
  <si>
    <t>Varia Pools GmbH</t>
  </si>
  <si>
    <t>Bachstrasse 34</t>
  </si>
  <si>
    <t>Harzacher</t>
  </si>
  <si>
    <t>CHE-459.459.882</t>
  </si>
  <si>
    <t>IKA Global AG</t>
  </si>
  <si>
    <t>CHE-411.411.587</t>
  </si>
  <si>
    <t>LoopX13 GmbH</t>
  </si>
  <si>
    <t>CHE-377.377.058</t>
  </si>
  <si>
    <t>Denner Partner Inhaberin Carrel</t>
  </si>
  <si>
    <t>Mühleweg</t>
  </si>
  <si>
    <t>CHE-278.278.356</t>
  </si>
  <si>
    <t>Greminger Digital</t>
  </si>
  <si>
    <t>CHE-290.290.992</t>
  </si>
  <si>
    <t>Podologie Zürcher GmbH</t>
  </si>
  <si>
    <t>CHE-248.248.626</t>
  </si>
  <si>
    <t>Restaurant Grossweier Santucci</t>
  </si>
  <si>
    <t>CHE-388.388.312</t>
  </si>
  <si>
    <t>Soraya Stöcklin-Chateaubriand Costa Coiffeur Salon</t>
  </si>
  <si>
    <t>Unterholz 24</t>
  </si>
  <si>
    <t>Melchnaustrasse 18a</t>
  </si>
  <si>
    <t>Bern-Zürich-Strasse</t>
  </si>
  <si>
    <t>CHE-169.169.951</t>
  </si>
  <si>
    <t>Gastro Consulting Santucci</t>
  </si>
  <si>
    <t>CHE-280.280.473</t>
  </si>
  <si>
    <t>Thoma Reinigungsteam</t>
  </si>
  <si>
    <t>Melchnaustrasse 16</t>
  </si>
  <si>
    <t>didis WELT Inh. Renate Schmocker</t>
  </si>
  <si>
    <t>Sängeliweg 14a</t>
  </si>
  <si>
    <t>illi Umzug Inh. Saloum</t>
  </si>
  <si>
    <t>CHE-409.409.815</t>
  </si>
  <si>
    <t>Garcia Abarca Food</t>
  </si>
  <si>
    <t>Wiesenstrasse 36</t>
  </si>
  <si>
    <t>CHE-312.312.218</t>
  </si>
  <si>
    <t>General Consulting GmbH</t>
  </si>
  <si>
    <t>Einschlagstrasse 14</t>
  </si>
  <si>
    <t>CHE-277.277.852</t>
  </si>
  <si>
    <t>Kinderphysio Basler</t>
  </si>
  <si>
    <t>CHE-459.459.702</t>
  </si>
  <si>
    <t>Swiss Novatech GmbH</t>
  </si>
  <si>
    <t>Brunnhofstrasse 31</t>
  </si>
  <si>
    <t>Reifen Schweiz M&amp;K GmbH</t>
  </si>
  <si>
    <t>CHE-384.384.420</t>
  </si>
  <si>
    <t>nowu swiss gmbh</t>
  </si>
  <si>
    <t>CHE-298.298.398</t>
  </si>
  <si>
    <t>VAMAC MCD GmbH</t>
  </si>
  <si>
    <t>Käsershausgasse 18</t>
  </si>
  <si>
    <t>CHE-372.372.118</t>
  </si>
  <si>
    <t>MoSingold GmbH</t>
  </si>
  <si>
    <t>c/o Simon und Monika Ingold</t>
  </si>
  <si>
    <t>Sonnhaldenstrasse 11b</t>
  </si>
  <si>
    <t>Hirserneggen</t>
  </si>
  <si>
    <t>CHE-312.312.703</t>
  </si>
  <si>
    <t>Eisenbahnstrasse 12</t>
  </si>
  <si>
    <t>CHE-471.471.378</t>
  </si>
  <si>
    <t>Langenthalstrasse 78a</t>
  </si>
  <si>
    <t>Vorhölzli</t>
  </si>
  <si>
    <t>CHE-323.323.994</t>
  </si>
  <si>
    <t>Kultmöbel Gattuso</t>
  </si>
  <si>
    <t>CHE-243.243.868</t>
  </si>
  <si>
    <t>BEHÖRDENBLICK</t>
  </si>
  <si>
    <t>c/o Kurt Richter</t>
  </si>
  <si>
    <t>CHE-219.219.978</t>
  </si>
  <si>
    <t>Spiel dein Leben</t>
  </si>
  <si>
    <t>c/o Nando Stöcklin</t>
  </si>
  <si>
    <t>Lehbach 88</t>
  </si>
  <si>
    <t>CHE-493.493.625</t>
  </si>
  <si>
    <t>Physiotherapie Auferstehung Milosevic</t>
  </si>
  <si>
    <t>CHE-398.398.658</t>
  </si>
  <si>
    <t>Lineaplan GmbH</t>
  </si>
  <si>
    <t>Auto Express ZK GmbH</t>
  </si>
  <si>
    <t>Tschäppel</t>
  </si>
  <si>
    <t>Rütistalden</t>
  </si>
  <si>
    <t>Steingasse</t>
  </si>
  <si>
    <t>CHE-284.284.957</t>
  </si>
  <si>
    <t>Studer Bauprojektleitung GmbH</t>
  </si>
  <si>
    <t>Alpweg 18</t>
  </si>
  <si>
    <t>CHE-164.164.493</t>
  </si>
  <si>
    <t>Dienstleistungen Gulio Antonowicz</t>
  </si>
  <si>
    <t>CHE-237.237.426</t>
  </si>
  <si>
    <t>GMB-Technik Service GmbH</t>
  </si>
  <si>
    <t>CHE-176.176.427</t>
  </si>
  <si>
    <t>Rs4you Schuster</t>
  </si>
  <si>
    <t>Belchenstrasse 15</t>
  </si>
  <si>
    <t>CHE-475.475.399</t>
  </si>
  <si>
    <t>Wenger Handel &amp; Projekte</t>
  </si>
  <si>
    <t>Grenzweg 2</t>
  </si>
  <si>
    <t>CHE-438.438.066</t>
  </si>
  <si>
    <t>Bärestarch Lüftungsservice Sarcevic</t>
  </si>
  <si>
    <t>Alpweg 6</t>
  </si>
  <si>
    <t>CHE-234.234.803</t>
  </si>
  <si>
    <t>Röthlisberger AiO GU</t>
  </si>
  <si>
    <t>Brühlmattenstrasse 1</t>
  </si>
  <si>
    <t>Bergwinkel 6</t>
  </si>
  <si>
    <t>Bodmengasse 10</t>
  </si>
  <si>
    <t>CHE-102.102.557</t>
  </si>
  <si>
    <t>Cleantex Services AG</t>
  </si>
  <si>
    <t>S960101</t>
  </si>
  <si>
    <t>Wäscherei</t>
  </si>
  <si>
    <t>CHE-264.264.618</t>
  </si>
  <si>
    <t>Abraxas Wyss Advisory GmbH</t>
  </si>
  <si>
    <t>Kuhnhubel</t>
  </si>
  <si>
    <t>CHE-368.368.698</t>
  </si>
  <si>
    <t>Imascal GmbH</t>
  </si>
  <si>
    <t>Erlenmoos 83</t>
  </si>
  <si>
    <t>"Insider Pub" -Betriebs AG</t>
  </si>
  <si>
    <t>Oberwynigshaus</t>
  </si>
  <si>
    <t>Neufeld</t>
  </si>
  <si>
    <t>Bitziusstrasse</t>
  </si>
  <si>
    <t>c/o Kummer Treuhand AG</t>
  </si>
  <si>
    <t>Fritzenfluh</t>
  </si>
  <si>
    <t>c/o René Marti</t>
  </si>
  <si>
    <t>Untersteckholzstrasse 16</t>
  </si>
  <si>
    <t>Bleienbachstrasse 26b</t>
  </si>
  <si>
    <t>CHE-207.207.381</t>
  </si>
  <si>
    <t>berguf GmbH</t>
  </si>
  <si>
    <t>Walliswilstrasse 3</t>
  </si>
  <si>
    <t>Kleben</t>
  </si>
  <si>
    <t>CHE-386.386.134</t>
  </si>
  <si>
    <t>Niederhauser Bildfunke</t>
  </si>
  <si>
    <t>Längacherstrasse 29</t>
  </si>
  <si>
    <t>IP Ring</t>
  </si>
  <si>
    <t>CHE-234.234.401</t>
  </si>
  <si>
    <t>TripleC Group GmbH</t>
  </si>
  <si>
    <t>Oberdorfstrasse 30</t>
  </si>
  <si>
    <t>Friedhofweg 2</t>
  </si>
  <si>
    <t>CHE-155.155.869</t>
  </si>
  <si>
    <t>SK Maler, Inhaber Koc</t>
  </si>
  <si>
    <t>CHE-346.346.868</t>
  </si>
  <si>
    <t>SGG Gipser-und Fassadenisolation GmbH</t>
  </si>
  <si>
    <t>CHE-395.395.388</t>
  </si>
  <si>
    <t>Pool Services Eichenberger</t>
  </si>
  <si>
    <t>Unterer Schlosshof</t>
  </si>
  <si>
    <t>CHE-216.216.710</t>
  </si>
  <si>
    <t>Krama Plattenleger Inh. Stîngaciu</t>
  </si>
  <si>
    <t>CHE-412.412.826</t>
  </si>
  <si>
    <t>Indiz Digital GmbH</t>
  </si>
  <si>
    <r>
      <t xml:space="preserve">- Diese Daten werden von der Region Oberaargau in Zusammenarbeit mit business-monitor.ch kostenlos zur Verfügung gestellt.
- Weitere Informationen zu den Daten finden Sie auf business-monitor.ch.
</t>
    </r>
    <r>
      <rPr>
        <i/>
        <sz val="12"/>
        <color theme="1"/>
        <rFont val="Calibri"/>
        <family val="2"/>
        <scheme val="minor"/>
      </rPr>
      <t>Version Q4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</si>
</sst>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484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1" applyAlignment="1" applyProtection="1">
      <alignment horizontal="center" vertical="center"/>
      <protection locked="0"/>
    </xf>
    <xf numFmtId="0" fontId="0" fillId="0" borderId="0" xfId="0" quotePrefix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34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usiness-monitor.ch/de?utm_source=oberaarga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1</xdr:col>
      <xdr:colOff>1930400</xdr:colOff>
      <xdr:row>1</xdr:row>
      <xdr:rowOff>12700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70854-9F25-904C-A5A1-9780D8BC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100"/>
          <a:ext cx="3048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usiness-monitor.ch/de/list-builder?filters%5Bdistrict_number%5D%5B%5D=244&amp;utm_source=oberaarg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0131-AFA1-B54C-BDE2-22A777D77647}">
  <dimension ref="A1:L5025"/>
  <sheetViews>
    <sheetView tabSelected="1" workbookViewId="0"/>
  </sheetViews>
  <sheetFormatPr baseColWidth="10" defaultRowHeight="16" x14ac:dyDescent="0.2"/>
  <cols>
    <col min="1" max="1" width="15" bestFit="1" customWidth="1"/>
    <col min="2" max="2" width="59.83203125" customWidth="1"/>
    <col min="3" max="3" width="38" bestFit="1" customWidth="1"/>
    <col min="4" max="4" width="51.5" bestFit="1" customWidth="1"/>
    <col min="5" max="5" width="28.83203125" bestFit="1" customWidth="1"/>
    <col min="6" max="6" width="6" bestFit="1" customWidth="1"/>
    <col min="7" max="7" width="29.5" bestFit="1" customWidth="1"/>
    <col min="8" max="8" width="9.33203125" bestFit="1" customWidth="1"/>
    <col min="9" max="9" width="16.1640625" bestFit="1" customWidth="1"/>
    <col min="10" max="10" width="100.33203125" bestFit="1" customWidth="1"/>
    <col min="11" max="11" width="18.33203125" bestFit="1" customWidth="1"/>
    <col min="12" max="12" width="17" style="3" customWidth="1"/>
  </cols>
  <sheetData>
    <row r="1" spans="1:12" s="3" customFormat="1" ht="35" customHeight="1" x14ac:dyDescent="0.2"/>
    <row r="2" spans="1:12" s="3" customFormat="1" ht="63" customHeight="1" x14ac:dyDescent="0.2">
      <c r="A2" s="6" t="s">
        <v>14703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s="3" customFormat="1" ht="26" customHeight="1" x14ac:dyDescent="0.2">
      <c r="A3" s="4"/>
      <c r="B3" s="5" t="s">
        <v>10728</v>
      </c>
    </row>
    <row r="4" spans="1:12" s="2" customForma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10763</v>
      </c>
    </row>
    <row r="5" spans="1:12" x14ac:dyDescent="0.2">
      <c r="A5" t="s">
        <v>1111</v>
      </c>
      <c r="B5" t="s">
        <v>1112</v>
      </c>
      <c r="C5" t="s">
        <v>13</v>
      </c>
      <c r="E5" t="s">
        <v>52</v>
      </c>
      <c r="F5">
        <v>3360</v>
      </c>
      <c r="G5" t="s">
        <v>35</v>
      </c>
      <c r="H5" t="s">
        <v>16</v>
      </c>
      <c r="I5" t="s">
        <v>72</v>
      </c>
      <c r="J5" t="s">
        <v>73</v>
      </c>
      <c r="K5" t="s">
        <v>19</v>
      </c>
      <c r="L5" t="str">
        <f>HYPERLINK("https://business-monitor.ch/de/companies/398650-fischer-spindle-group-ag?utm_source=oberaargau","PROFIL ANSEHEN")</f>
        <v>PROFIL ANSEHEN</v>
      </c>
    </row>
    <row r="6" spans="1:12" x14ac:dyDescent="0.2">
      <c r="A6" t="s">
        <v>193</v>
      </c>
      <c r="B6" t="s">
        <v>194</v>
      </c>
      <c r="C6" t="s">
        <v>13</v>
      </c>
      <c r="E6" t="s">
        <v>195</v>
      </c>
      <c r="F6">
        <v>4912</v>
      </c>
      <c r="G6" t="s">
        <v>64</v>
      </c>
      <c r="H6" t="s">
        <v>16</v>
      </c>
      <c r="I6" t="s">
        <v>1689</v>
      </c>
      <c r="J6" t="s">
        <v>1690</v>
      </c>
      <c r="K6" t="s">
        <v>19</v>
      </c>
      <c r="L6" t="str">
        <f>HYPERLINK("https://business-monitor.ch/de/companies/224696-thommen-ag-aarwangen?utm_source=oberaargau","PROFIL ANSEHEN")</f>
        <v>PROFIL ANSEHEN</v>
      </c>
    </row>
    <row r="7" spans="1:12" x14ac:dyDescent="0.2">
      <c r="A7" t="s">
        <v>368</v>
      </c>
      <c r="B7" t="s">
        <v>369</v>
      </c>
      <c r="C7" t="s">
        <v>202</v>
      </c>
      <c r="E7" t="s">
        <v>370</v>
      </c>
      <c r="F7">
        <v>4704</v>
      </c>
      <c r="G7" t="s">
        <v>221</v>
      </c>
      <c r="H7" t="s">
        <v>16</v>
      </c>
      <c r="I7" t="s">
        <v>371</v>
      </c>
      <c r="J7" t="s">
        <v>372</v>
      </c>
      <c r="K7" t="s">
        <v>19</v>
      </c>
      <c r="L7" t="str">
        <f>HYPERLINK("https://business-monitor.ch/de/companies/138788-tela-gmbh?utm_source=oberaargau","PROFIL ANSEHEN")</f>
        <v>PROFIL ANSEHEN</v>
      </c>
    </row>
    <row r="8" spans="1:12" x14ac:dyDescent="0.2">
      <c r="A8" t="s">
        <v>354</v>
      </c>
      <c r="B8" t="s">
        <v>355</v>
      </c>
      <c r="C8" t="s">
        <v>13</v>
      </c>
      <c r="E8" t="s">
        <v>220</v>
      </c>
      <c r="F8">
        <v>4704</v>
      </c>
      <c r="G8" t="s">
        <v>221</v>
      </c>
      <c r="H8" t="s">
        <v>16</v>
      </c>
      <c r="I8" t="s">
        <v>222</v>
      </c>
      <c r="J8" t="s">
        <v>223</v>
      </c>
      <c r="K8" t="s">
        <v>19</v>
      </c>
      <c r="L8" t="str">
        <f>HYPERLINK("https://business-monitor.ch/de/companies/140867-galexis-ag?utm_source=oberaargau","PROFIL ANSEHEN")</f>
        <v>PROFIL ANSEHEN</v>
      </c>
    </row>
    <row r="9" spans="1:12" x14ac:dyDescent="0.2">
      <c r="A9" t="s">
        <v>184</v>
      </c>
      <c r="B9" t="s">
        <v>185</v>
      </c>
      <c r="C9" t="s">
        <v>13</v>
      </c>
      <c r="E9" t="s">
        <v>161</v>
      </c>
      <c r="F9">
        <v>4922</v>
      </c>
      <c r="G9" t="s">
        <v>99</v>
      </c>
      <c r="H9" t="s">
        <v>16</v>
      </c>
      <c r="I9" t="s">
        <v>186</v>
      </c>
      <c r="J9" t="s">
        <v>187</v>
      </c>
      <c r="K9" t="s">
        <v>19</v>
      </c>
      <c r="L9" t="str">
        <f>HYPERLINK("https://business-monitor.ch/de/companies/149344-glas-troesch-verwaltungs-ag?utm_source=oberaargau","PROFIL ANSEHEN")</f>
        <v>PROFIL ANSEHEN</v>
      </c>
    </row>
    <row r="10" spans="1:12" x14ac:dyDescent="0.2">
      <c r="A10" t="s">
        <v>121</v>
      </c>
      <c r="B10" t="s">
        <v>122</v>
      </c>
      <c r="C10" t="s">
        <v>13</v>
      </c>
      <c r="D10" t="s">
        <v>123</v>
      </c>
      <c r="E10" t="s">
        <v>124</v>
      </c>
      <c r="F10">
        <v>4900</v>
      </c>
      <c r="G10" t="s">
        <v>41</v>
      </c>
      <c r="H10" t="s">
        <v>16</v>
      </c>
      <c r="I10" t="s">
        <v>72</v>
      </c>
      <c r="J10" t="s">
        <v>73</v>
      </c>
      <c r="K10" t="s">
        <v>19</v>
      </c>
      <c r="L10" t="str">
        <f>HYPERLINK("https://business-monitor.ch/de/companies/66029-guedel-group-ag?utm_source=oberaargau","PROFIL ANSEHEN")</f>
        <v>PROFIL ANSEHEN</v>
      </c>
    </row>
    <row r="11" spans="1:12" x14ac:dyDescent="0.2">
      <c r="A11" t="s">
        <v>300</v>
      </c>
      <c r="B11" t="s">
        <v>301</v>
      </c>
      <c r="C11" t="s">
        <v>13</v>
      </c>
      <c r="E11" t="s">
        <v>143</v>
      </c>
      <c r="F11">
        <v>4922</v>
      </c>
      <c r="G11" t="s">
        <v>99</v>
      </c>
      <c r="H11" t="s">
        <v>16</v>
      </c>
      <c r="I11" t="s">
        <v>72</v>
      </c>
      <c r="J11" t="s">
        <v>73</v>
      </c>
      <c r="K11" t="s">
        <v>19</v>
      </c>
      <c r="L11" t="str">
        <f>HYPERLINK("https://business-monitor.ch/de/companies/94924-girsberger-holding-ag?utm_source=oberaargau","PROFIL ANSEHEN")</f>
        <v>PROFIL ANSEHEN</v>
      </c>
    </row>
    <row r="12" spans="1:12" x14ac:dyDescent="0.2">
      <c r="A12" t="s">
        <v>127</v>
      </c>
      <c r="B12" t="s">
        <v>128</v>
      </c>
      <c r="C12" t="s">
        <v>13</v>
      </c>
      <c r="E12" t="s">
        <v>129</v>
      </c>
      <c r="F12">
        <v>4900</v>
      </c>
      <c r="G12" t="s">
        <v>41</v>
      </c>
      <c r="H12" t="s">
        <v>16</v>
      </c>
      <c r="I12" t="s">
        <v>130</v>
      </c>
      <c r="J12" t="s">
        <v>131</v>
      </c>
      <c r="K12" t="s">
        <v>19</v>
      </c>
      <c r="L12" t="str">
        <f>HYPERLINK("https://business-monitor.ch/de/companies/294-lantal-textiles-ag?utm_source=oberaargau","PROFIL ANSEHEN")</f>
        <v>PROFIL ANSEHEN</v>
      </c>
    </row>
    <row r="13" spans="1:12" x14ac:dyDescent="0.2">
      <c r="A13" t="s">
        <v>224</v>
      </c>
      <c r="B13" t="s">
        <v>225</v>
      </c>
      <c r="C13" t="s">
        <v>13</v>
      </c>
      <c r="E13" t="s">
        <v>226</v>
      </c>
      <c r="F13">
        <v>4704</v>
      </c>
      <c r="G13" t="s">
        <v>221</v>
      </c>
      <c r="H13" t="s">
        <v>16</v>
      </c>
      <c r="I13" t="s">
        <v>227</v>
      </c>
      <c r="J13" t="s">
        <v>228</v>
      </c>
      <c r="K13" t="s">
        <v>19</v>
      </c>
      <c r="L13" t="str">
        <f>HYPERLINK("https://business-monitor.ch/de/companies/144138-diy-wood-ag?utm_source=oberaargau","PROFIL ANSEHEN")</f>
        <v>PROFIL ANSEHEN</v>
      </c>
    </row>
    <row r="14" spans="1:12" x14ac:dyDescent="0.2">
      <c r="A14" t="s">
        <v>38</v>
      </c>
      <c r="B14" t="s">
        <v>39</v>
      </c>
      <c r="C14" t="s">
        <v>13</v>
      </c>
      <c r="E14" t="s">
        <v>40</v>
      </c>
      <c r="F14">
        <v>4900</v>
      </c>
      <c r="G14" t="s">
        <v>41</v>
      </c>
      <c r="H14" t="s">
        <v>16</v>
      </c>
      <c r="I14" t="s">
        <v>42</v>
      </c>
      <c r="J14" t="s">
        <v>43</v>
      </c>
      <c r="K14" t="s">
        <v>19</v>
      </c>
      <c r="L14" t="str">
        <f>HYPERLINK("https://business-monitor.ch/de/companies/4583-creation-baumann-ag?utm_source=oberaargau","PROFIL ANSEHEN")</f>
        <v>PROFIL ANSEHEN</v>
      </c>
    </row>
    <row r="15" spans="1:12" x14ac:dyDescent="0.2">
      <c r="A15" t="s">
        <v>377</v>
      </c>
      <c r="B15" t="s">
        <v>378</v>
      </c>
      <c r="C15" t="s">
        <v>13</v>
      </c>
      <c r="E15" t="s">
        <v>98</v>
      </c>
      <c r="F15">
        <v>4922</v>
      </c>
      <c r="G15" t="s">
        <v>99</v>
      </c>
      <c r="H15" t="s">
        <v>16</v>
      </c>
      <c r="I15" t="s">
        <v>36</v>
      </c>
      <c r="J15" t="s">
        <v>37</v>
      </c>
      <c r="K15" t="s">
        <v>19</v>
      </c>
      <c r="L15" t="str">
        <f>HYPERLINK("https://business-monitor.ch/de/companies/92293-erbo-spraytec-ag?utm_source=oberaargau","PROFIL ANSEHEN")</f>
        <v>PROFIL ANSEHEN</v>
      </c>
    </row>
    <row r="16" spans="1:12" x14ac:dyDescent="0.2">
      <c r="A16" t="s">
        <v>177</v>
      </c>
      <c r="B16" t="s">
        <v>178</v>
      </c>
      <c r="C16" t="s">
        <v>13</v>
      </c>
      <c r="E16" t="s">
        <v>179</v>
      </c>
      <c r="F16">
        <v>4900</v>
      </c>
      <c r="G16" t="s">
        <v>41</v>
      </c>
      <c r="H16" t="s">
        <v>16</v>
      </c>
      <c r="I16" t="s">
        <v>180</v>
      </c>
      <c r="J16" t="s">
        <v>181</v>
      </c>
      <c r="K16" t="s">
        <v>19</v>
      </c>
      <c r="L16" t="str">
        <f>HYPERLINK("https://business-monitor.ch/de/companies/96776-ammann-schweiz-ag?utm_source=oberaargau","PROFIL ANSEHEN")</f>
        <v>PROFIL ANSEHEN</v>
      </c>
    </row>
    <row r="17" spans="1:12" x14ac:dyDescent="0.2">
      <c r="A17" t="s">
        <v>388</v>
      </c>
      <c r="B17" t="s">
        <v>389</v>
      </c>
      <c r="C17" t="s">
        <v>13</v>
      </c>
      <c r="E17" t="s">
        <v>390</v>
      </c>
      <c r="F17">
        <v>4922</v>
      </c>
      <c r="G17" t="s">
        <v>99</v>
      </c>
      <c r="H17" t="s">
        <v>16</v>
      </c>
      <c r="I17" t="s">
        <v>391</v>
      </c>
      <c r="J17" t="s">
        <v>392</v>
      </c>
      <c r="K17" t="s">
        <v>19</v>
      </c>
      <c r="L17" t="str">
        <f>HYPERLINK("https://business-monitor.ch/de/companies/29931-glaston-switzerland-ag?utm_source=oberaargau","PROFIL ANSEHEN")</f>
        <v>PROFIL ANSEHEN</v>
      </c>
    </row>
    <row r="18" spans="1:12" x14ac:dyDescent="0.2">
      <c r="A18" t="s">
        <v>67</v>
      </c>
      <c r="B18" t="s">
        <v>68</v>
      </c>
      <c r="C18" t="s">
        <v>13</v>
      </c>
      <c r="D18" t="s">
        <v>69</v>
      </c>
      <c r="E18" t="s">
        <v>70</v>
      </c>
      <c r="F18">
        <v>4538</v>
      </c>
      <c r="G18" t="s">
        <v>71</v>
      </c>
      <c r="H18" t="s">
        <v>16</v>
      </c>
      <c r="I18" t="s">
        <v>72</v>
      </c>
      <c r="J18" t="s">
        <v>73</v>
      </c>
      <c r="K18" t="s">
        <v>19</v>
      </c>
      <c r="L18" t="str">
        <f>HYPERLINK("https://business-monitor.ch/de/companies/33188-schoeni-ch-holding-ag?utm_source=oberaargau","PROFIL ANSEHEN")</f>
        <v>PROFIL ANSEHEN</v>
      </c>
    </row>
    <row r="19" spans="1:12" x14ac:dyDescent="0.2">
      <c r="A19" t="s">
        <v>337</v>
      </c>
      <c r="B19" t="s">
        <v>338</v>
      </c>
      <c r="C19" t="s">
        <v>84</v>
      </c>
      <c r="E19" t="s">
        <v>339</v>
      </c>
      <c r="F19">
        <v>3360</v>
      </c>
      <c r="G19" t="s">
        <v>35</v>
      </c>
      <c r="H19" t="s">
        <v>16</v>
      </c>
      <c r="I19" t="s">
        <v>340</v>
      </c>
      <c r="J19" t="s">
        <v>341</v>
      </c>
      <c r="K19" t="s">
        <v>19</v>
      </c>
      <c r="L19" t="str">
        <f>HYPERLINK("https://business-monitor.ch/de/companies/173899-landi-buchsi-genossenschaft?utm_source=oberaargau","PROFIL ANSEHEN")</f>
        <v>PROFIL ANSEHEN</v>
      </c>
    </row>
    <row r="20" spans="1:12" x14ac:dyDescent="0.2">
      <c r="A20" t="s">
        <v>132</v>
      </c>
      <c r="B20" t="s">
        <v>133</v>
      </c>
      <c r="C20" t="s">
        <v>13</v>
      </c>
      <c r="E20" t="s">
        <v>28</v>
      </c>
      <c r="F20">
        <v>3380</v>
      </c>
      <c r="G20" t="s">
        <v>29</v>
      </c>
      <c r="H20" t="s">
        <v>16</v>
      </c>
      <c r="I20" t="s">
        <v>182</v>
      </c>
      <c r="J20" t="s">
        <v>183</v>
      </c>
      <c r="K20" t="s">
        <v>19</v>
      </c>
      <c r="L20" t="str">
        <f>HYPERLINK("https://business-monitor.ch/de/companies/1054462-bkw-infra-services-ag?utm_source=oberaargau","PROFIL ANSEHEN")</f>
        <v>PROFIL ANSEHEN</v>
      </c>
    </row>
    <row r="21" spans="1:12" x14ac:dyDescent="0.2">
      <c r="A21" t="s">
        <v>7983</v>
      </c>
      <c r="B21" t="s">
        <v>7984</v>
      </c>
      <c r="C21" t="s">
        <v>13</v>
      </c>
      <c r="E21" t="s">
        <v>1016</v>
      </c>
      <c r="F21">
        <v>4914</v>
      </c>
      <c r="G21" t="s">
        <v>105</v>
      </c>
      <c r="H21" t="s">
        <v>16</v>
      </c>
      <c r="I21" t="s">
        <v>1818</v>
      </c>
      <c r="J21" t="s">
        <v>1819</v>
      </c>
      <c r="K21" t="s">
        <v>19</v>
      </c>
      <c r="L21" t="str">
        <f>HYPERLINK("https://business-monitor.ch/de/companies/626274-wefox-switzerland-ag?utm_source=oberaargau","PROFIL ANSEHEN")</f>
        <v>PROFIL ANSEHEN</v>
      </c>
    </row>
    <row r="22" spans="1:12" x14ac:dyDescent="0.2">
      <c r="A22" t="s">
        <v>44</v>
      </c>
      <c r="B22" t="s">
        <v>45</v>
      </c>
      <c r="C22" t="s">
        <v>13</v>
      </c>
      <c r="E22" t="s">
        <v>46</v>
      </c>
      <c r="F22">
        <v>3362</v>
      </c>
      <c r="G22" t="s">
        <v>47</v>
      </c>
      <c r="H22" t="s">
        <v>16</v>
      </c>
      <c r="I22" t="s">
        <v>48</v>
      </c>
      <c r="J22" t="s">
        <v>49</v>
      </c>
      <c r="K22" t="s">
        <v>19</v>
      </c>
      <c r="L22" t="str">
        <f>HYPERLINK("https://business-monitor.ch/de/companies/140148-bystronic-laser-ag?utm_source=oberaargau","PROFIL ANSEHEN")</f>
        <v>PROFIL ANSEHEN</v>
      </c>
    </row>
    <row r="23" spans="1:12" x14ac:dyDescent="0.2">
      <c r="A23" t="s">
        <v>159</v>
      </c>
      <c r="B23" t="s">
        <v>160</v>
      </c>
      <c r="C23" t="s">
        <v>13</v>
      </c>
      <c r="E23" t="s">
        <v>161</v>
      </c>
      <c r="F23">
        <v>4922</v>
      </c>
      <c r="G23" t="s">
        <v>99</v>
      </c>
      <c r="H23" t="s">
        <v>16</v>
      </c>
      <c r="I23" t="s">
        <v>162</v>
      </c>
      <c r="J23" t="s">
        <v>163</v>
      </c>
      <c r="K23" t="s">
        <v>19</v>
      </c>
      <c r="L23" t="str">
        <f>HYPERLINK("https://business-monitor.ch/de/companies/38978-glas-troesch-ag?utm_source=oberaargau","PROFIL ANSEHEN")</f>
        <v>PROFIL ANSEHEN</v>
      </c>
    </row>
    <row r="24" spans="1:12" x14ac:dyDescent="0.2">
      <c r="A24" t="s">
        <v>306</v>
      </c>
      <c r="B24" t="s">
        <v>307</v>
      </c>
      <c r="C24" t="s">
        <v>13</v>
      </c>
      <c r="E24" t="s">
        <v>14363</v>
      </c>
      <c r="F24">
        <v>3368</v>
      </c>
      <c r="G24" t="s">
        <v>308</v>
      </c>
      <c r="H24" t="s">
        <v>16</v>
      </c>
      <c r="I24" t="s">
        <v>182</v>
      </c>
      <c r="J24" t="s">
        <v>183</v>
      </c>
      <c r="K24" t="s">
        <v>19</v>
      </c>
      <c r="L24" t="str">
        <f>HYPERLINK("https://business-monitor.ch/de/companies/74043-daetwyler-global-tec-holding-ag?utm_source=oberaargau","PROFIL ANSEHEN")</f>
        <v>PROFIL ANSEHEN</v>
      </c>
    </row>
    <row r="25" spans="1:12" x14ac:dyDescent="0.2">
      <c r="A25" t="s">
        <v>346</v>
      </c>
      <c r="B25" t="s">
        <v>347</v>
      </c>
      <c r="C25" t="s">
        <v>202</v>
      </c>
      <c r="E25" t="s">
        <v>348</v>
      </c>
      <c r="F25">
        <v>4900</v>
      </c>
      <c r="G25" t="s">
        <v>41</v>
      </c>
      <c r="H25" t="s">
        <v>16</v>
      </c>
      <c r="I25" t="s">
        <v>72</v>
      </c>
      <c r="J25" t="s">
        <v>73</v>
      </c>
      <c r="K25" t="s">
        <v>19</v>
      </c>
      <c r="L25" t="str">
        <f>HYPERLINK("https://business-monitor.ch/de/companies/149220-3m-emea-gmbh?utm_source=oberaargau","PROFIL ANSEHEN")</f>
        <v>PROFIL ANSEHEN</v>
      </c>
    </row>
    <row r="26" spans="1:12" x14ac:dyDescent="0.2">
      <c r="A26" t="s">
        <v>286</v>
      </c>
      <c r="B26" t="s">
        <v>287</v>
      </c>
      <c r="C26" t="s">
        <v>13</v>
      </c>
      <c r="E26" t="s">
        <v>288</v>
      </c>
      <c r="F26">
        <v>4704</v>
      </c>
      <c r="G26" t="s">
        <v>221</v>
      </c>
      <c r="H26" t="s">
        <v>16</v>
      </c>
      <c r="I26" t="s">
        <v>289</v>
      </c>
      <c r="J26" t="s">
        <v>290</v>
      </c>
      <c r="K26" t="s">
        <v>19</v>
      </c>
      <c r="L26" t="str">
        <f>HYPERLINK("https://business-monitor.ch/de/companies/141636-tecton-abdichtungen-ag?utm_source=oberaargau","PROFIL ANSEHEN")</f>
        <v>PROFIL ANSEHEN</v>
      </c>
    </row>
    <row r="27" spans="1:12" x14ac:dyDescent="0.2">
      <c r="A27" t="s">
        <v>317</v>
      </c>
      <c r="B27" t="s">
        <v>318</v>
      </c>
      <c r="C27" t="s">
        <v>13</v>
      </c>
      <c r="E27" t="s">
        <v>319</v>
      </c>
      <c r="F27">
        <v>4900</v>
      </c>
      <c r="G27" t="s">
        <v>41</v>
      </c>
      <c r="H27" t="s">
        <v>16</v>
      </c>
      <c r="I27" t="s">
        <v>320</v>
      </c>
      <c r="J27" t="s">
        <v>321</v>
      </c>
      <c r="K27" t="s">
        <v>19</v>
      </c>
      <c r="L27" t="str">
        <f>HYPERLINK("https://business-monitor.ch/de/companies/141127-sro-ag?utm_source=oberaargau","PROFIL ANSEHEN")</f>
        <v>PROFIL ANSEHEN</v>
      </c>
    </row>
    <row r="28" spans="1:12" x14ac:dyDescent="0.2">
      <c r="A28" t="s">
        <v>26</v>
      </c>
      <c r="B28" t="s">
        <v>27</v>
      </c>
      <c r="C28" t="s">
        <v>13</v>
      </c>
      <c r="E28" t="s">
        <v>28</v>
      </c>
      <c r="F28">
        <v>3380</v>
      </c>
      <c r="G28" t="s">
        <v>29</v>
      </c>
      <c r="H28" t="s">
        <v>16</v>
      </c>
      <c r="I28" t="s">
        <v>30</v>
      </c>
      <c r="J28" t="s">
        <v>31</v>
      </c>
      <c r="K28" t="s">
        <v>19</v>
      </c>
      <c r="L28" t="str">
        <f>HYPERLINK("https://business-monitor.ch/de/companies/175333-arnold-ag?utm_source=oberaargau","PROFIL ANSEHEN")</f>
        <v>PROFIL ANSEHEN</v>
      </c>
    </row>
    <row r="29" spans="1:12" x14ac:dyDescent="0.2">
      <c r="A29" t="s">
        <v>256</v>
      </c>
      <c r="B29" t="s">
        <v>257</v>
      </c>
      <c r="C29" t="s">
        <v>13</v>
      </c>
      <c r="E29" t="s">
        <v>124</v>
      </c>
      <c r="F29">
        <v>4900</v>
      </c>
      <c r="G29" t="s">
        <v>41</v>
      </c>
      <c r="H29" t="s">
        <v>16</v>
      </c>
      <c r="I29" t="s">
        <v>48</v>
      </c>
      <c r="J29" t="s">
        <v>49</v>
      </c>
      <c r="K29" t="s">
        <v>19</v>
      </c>
      <c r="L29" t="str">
        <f>HYPERLINK("https://business-monitor.ch/de/companies/1136-guedel-ag?utm_source=oberaargau","PROFIL ANSEHEN")</f>
        <v>PROFIL ANSEHEN</v>
      </c>
    </row>
    <row r="30" spans="1:12" x14ac:dyDescent="0.2">
      <c r="A30" t="s">
        <v>7872</v>
      </c>
      <c r="B30" t="s">
        <v>7873</v>
      </c>
      <c r="C30" t="s">
        <v>13</v>
      </c>
      <c r="E30" t="s">
        <v>1016</v>
      </c>
      <c r="F30">
        <v>4914</v>
      </c>
      <c r="G30" t="s">
        <v>105</v>
      </c>
      <c r="H30" t="s">
        <v>16</v>
      </c>
      <c r="I30" t="s">
        <v>2500</v>
      </c>
      <c r="J30" t="s">
        <v>2501</v>
      </c>
      <c r="K30" t="s">
        <v>19</v>
      </c>
      <c r="L30" t="str">
        <f>HYPERLINK("https://business-monitor.ch/de/companies/1054517-wefox-services-schweiz-ag?utm_source=oberaargau","PROFIL ANSEHEN")</f>
        <v>PROFIL ANSEHEN</v>
      </c>
    </row>
    <row r="31" spans="1:12" x14ac:dyDescent="0.2">
      <c r="A31" t="s">
        <v>1489</v>
      </c>
      <c r="B31" t="s">
        <v>1490</v>
      </c>
      <c r="C31" t="s">
        <v>13</v>
      </c>
      <c r="E31" t="s">
        <v>46</v>
      </c>
      <c r="F31">
        <v>3362</v>
      </c>
      <c r="G31" t="s">
        <v>47</v>
      </c>
      <c r="H31" t="s">
        <v>16</v>
      </c>
      <c r="I31" t="s">
        <v>1491</v>
      </c>
      <c r="J31" t="s">
        <v>1492</v>
      </c>
      <c r="K31" t="s">
        <v>19</v>
      </c>
      <c r="L31" t="str">
        <f>HYPERLINK("https://business-monitor.ch/de/companies/299122-bystronic-sales-ag?utm_source=oberaargau","PROFIL ANSEHEN")</f>
        <v>PROFIL ANSEHEN</v>
      </c>
    </row>
    <row r="32" spans="1:12" x14ac:dyDescent="0.2">
      <c r="A32" t="s">
        <v>198</v>
      </c>
      <c r="B32" t="s">
        <v>199</v>
      </c>
      <c r="C32" t="s">
        <v>13</v>
      </c>
      <c r="E32" t="s">
        <v>179</v>
      </c>
      <c r="F32">
        <v>4900</v>
      </c>
      <c r="G32" t="s">
        <v>41</v>
      </c>
      <c r="H32" t="s">
        <v>16</v>
      </c>
      <c r="I32" t="s">
        <v>186</v>
      </c>
      <c r="J32" t="s">
        <v>187</v>
      </c>
      <c r="K32" t="s">
        <v>19</v>
      </c>
      <c r="L32" t="str">
        <f>HYPERLINK("https://business-monitor.ch/de/companies/269602-ammann-bauausruestung-ag?utm_source=oberaargau","PROFIL ANSEHEN")</f>
        <v>PROFIL ANSEHEN</v>
      </c>
    </row>
    <row r="33" spans="1:12" x14ac:dyDescent="0.2">
      <c r="A33" t="s">
        <v>11</v>
      </c>
      <c r="B33" t="s">
        <v>12</v>
      </c>
      <c r="C33" t="s">
        <v>13</v>
      </c>
      <c r="E33" t="s">
        <v>14</v>
      </c>
      <c r="F33">
        <v>4950</v>
      </c>
      <c r="G33" t="s">
        <v>15</v>
      </c>
      <c r="H33" t="s">
        <v>16</v>
      </c>
      <c r="I33" t="s">
        <v>17</v>
      </c>
      <c r="J33" t="s">
        <v>18</v>
      </c>
      <c r="K33" t="s">
        <v>19</v>
      </c>
      <c r="L33" t="str">
        <f>HYPERLINK("https://business-monitor.ch/de/companies/141049-bank-oberaargau-ag?utm_source=oberaargau","PROFIL ANSEHEN")</f>
        <v>PROFIL ANSEHEN</v>
      </c>
    </row>
    <row r="34" spans="1:12" x14ac:dyDescent="0.2">
      <c r="A34" t="s">
        <v>410</v>
      </c>
      <c r="B34" t="s">
        <v>411</v>
      </c>
      <c r="C34" t="s">
        <v>13</v>
      </c>
      <c r="E34" t="s">
        <v>412</v>
      </c>
      <c r="F34">
        <v>4914</v>
      </c>
      <c r="G34" t="s">
        <v>105</v>
      </c>
      <c r="H34" t="s">
        <v>16</v>
      </c>
      <c r="I34" t="s">
        <v>48</v>
      </c>
      <c r="J34" t="s">
        <v>49</v>
      </c>
      <c r="K34" t="s">
        <v>19</v>
      </c>
      <c r="L34" t="str">
        <f>HYPERLINK("https://business-monitor.ch/de/companies/30350-schneeberger-ag-lineartechnik?utm_source=oberaargau","PROFIL ANSEHEN")</f>
        <v>PROFIL ANSEHEN</v>
      </c>
    </row>
    <row r="35" spans="1:12" x14ac:dyDescent="0.2">
      <c r="A35" t="s">
        <v>269</v>
      </c>
      <c r="B35" t="s">
        <v>270</v>
      </c>
      <c r="C35" t="s">
        <v>13</v>
      </c>
      <c r="E35" t="s">
        <v>263</v>
      </c>
      <c r="F35">
        <v>4900</v>
      </c>
      <c r="G35" t="s">
        <v>41</v>
      </c>
      <c r="H35" t="s">
        <v>16</v>
      </c>
      <c r="I35" t="s">
        <v>271</v>
      </c>
      <c r="J35" t="s">
        <v>272</v>
      </c>
      <c r="K35" t="s">
        <v>19</v>
      </c>
      <c r="L35" t="str">
        <f>HYPERLINK("https://business-monitor.ch/de/companies/170848-motorex-ag?utm_source=oberaargau","PROFIL ANSEHEN")</f>
        <v>PROFIL ANSEHEN</v>
      </c>
    </row>
    <row r="36" spans="1:12" x14ac:dyDescent="0.2">
      <c r="A36" t="s">
        <v>88</v>
      </c>
      <c r="B36" t="s">
        <v>89</v>
      </c>
      <c r="C36" t="s">
        <v>13</v>
      </c>
      <c r="E36" t="s">
        <v>90</v>
      </c>
      <c r="F36">
        <v>4900</v>
      </c>
      <c r="G36" t="s">
        <v>41</v>
      </c>
      <c r="H36" t="s">
        <v>16</v>
      </c>
      <c r="I36" t="s">
        <v>91</v>
      </c>
      <c r="J36" t="s">
        <v>92</v>
      </c>
      <c r="K36" t="s">
        <v>55</v>
      </c>
      <c r="L36" t="str">
        <f>HYPERLINK("https://business-monitor.ch/de/companies/295311-glz-geschaefts-und-logistikzentrum-langenthal-ag?utm_source=oberaargau","PROFIL ANSEHEN")</f>
        <v>PROFIL ANSEHEN</v>
      </c>
    </row>
    <row r="37" spans="1:12" x14ac:dyDescent="0.2">
      <c r="A37" t="s">
        <v>61</v>
      </c>
      <c r="B37" t="s">
        <v>62</v>
      </c>
      <c r="C37" t="s">
        <v>13</v>
      </c>
      <c r="E37" t="s">
        <v>63</v>
      </c>
      <c r="F37">
        <v>4912</v>
      </c>
      <c r="G37" t="s">
        <v>64</v>
      </c>
      <c r="H37" t="s">
        <v>16</v>
      </c>
      <c r="I37" t="s">
        <v>65</v>
      </c>
      <c r="J37" t="s">
        <v>66</v>
      </c>
      <c r="K37" t="s">
        <v>55</v>
      </c>
      <c r="L37" t="str">
        <f>HYPERLINK("https://business-monitor.ch/de/companies/655071-w-althaus-ag?utm_source=oberaargau","PROFIL ANSEHEN")</f>
        <v>PROFIL ANSEHEN</v>
      </c>
    </row>
    <row r="38" spans="1:12" x14ac:dyDescent="0.2">
      <c r="A38" t="s">
        <v>296</v>
      </c>
      <c r="B38" t="s">
        <v>297</v>
      </c>
      <c r="C38" t="s">
        <v>13</v>
      </c>
      <c r="E38" t="s">
        <v>195</v>
      </c>
      <c r="F38">
        <v>4912</v>
      </c>
      <c r="G38" t="s">
        <v>64</v>
      </c>
      <c r="H38" t="s">
        <v>16</v>
      </c>
      <c r="I38" t="s">
        <v>12233</v>
      </c>
      <c r="J38" t="s">
        <v>12234</v>
      </c>
      <c r="K38" t="s">
        <v>55</v>
      </c>
      <c r="L38" t="str">
        <f>HYPERLINK("https://business-monitor.ch/de/companies/440910-immark-ag-aarwangen?utm_source=oberaargau","PROFIL ANSEHEN")</f>
        <v>PROFIL ANSEHEN</v>
      </c>
    </row>
    <row r="39" spans="1:12" x14ac:dyDescent="0.2">
      <c r="A39" t="s">
        <v>218</v>
      </c>
      <c r="B39" t="s">
        <v>219</v>
      </c>
      <c r="C39" t="s">
        <v>13</v>
      </c>
      <c r="E39" t="s">
        <v>220</v>
      </c>
      <c r="F39">
        <v>4704</v>
      </c>
      <c r="G39" t="s">
        <v>221</v>
      </c>
      <c r="H39" t="s">
        <v>16</v>
      </c>
      <c r="I39" t="s">
        <v>222</v>
      </c>
      <c r="J39" t="s">
        <v>223</v>
      </c>
      <c r="K39" t="s">
        <v>55</v>
      </c>
      <c r="L39" t="str">
        <f>HYPERLINK("https://business-monitor.ch/de/companies/244151-amavita-health-care-ag?utm_source=oberaargau","PROFIL ANSEHEN")</f>
        <v>PROFIL ANSEHEN</v>
      </c>
    </row>
    <row r="40" spans="1:12" x14ac:dyDescent="0.2">
      <c r="A40" t="s">
        <v>1109</v>
      </c>
      <c r="B40" t="s">
        <v>1110</v>
      </c>
      <c r="C40" t="s">
        <v>13</v>
      </c>
      <c r="E40" t="s">
        <v>448</v>
      </c>
      <c r="F40">
        <v>4538</v>
      </c>
      <c r="G40" t="s">
        <v>71</v>
      </c>
      <c r="H40" t="s">
        <v>16</v>
      </c>
      <c r="I40" t="s">
        <v>514</v>
      </c>
      <c r="J40" t="s">
        <v>515</v>
      </c>
      <c r="K40" t="s">
        <v>55</v>
      </c>
      <c r="L40" t="str">
        <f>HYPERLINK("https://business-monitor.ch/de/companies/127207-schoeni-swissfresh-ag?utm_source=oberaargau","PROFIL ANSEHEN")</f>
        <v>PROFIL ANSEHEN</v>
      </c>
    </row>
    <row r="41" spans="1:12" x14ac:dyDescent="0.2">
      <c r="A41" t="s">
        <v>1342</v>
      </c>
      <c r="B41" t="s">
        <v>1343</v>
      </c>
      <c r="C41" t="s">
        <v>13</v>
      </c>
      <c r="E41" t="s">
        <v>412</v>
      </c>
      <c r="F41">
        <v>4914</v>
      </c>
      <c r="G41" t="s">
        <v>105</v>
      </c>
      <c r="H41" t="s">
        <v>16</v>
      </c>
      <c r="I41" t="s">
        <v>182</v>
      </c>
      <c r="J41" t="s">
        <v>183</v>
      </c>
      <c r="K41" t="s">
        <v>55</v>
      </c>
      <c r="L41" t="str">
        <f>HYPERLINK("https://business-monitor.ch/de/companies/87843-schneeberger-holding-ag?utm_source=oberaargau","PROFIL ANSEHEN")</f>
        <v>PROFIL ANSEHEN</v>
      </c>
    </row>
    <row r="42" spans="1:12" x14ac:dyDescent="0.2">
      <c r="A42" t="s">
        <v>1464</v>
      </c>
      <c r="B42" t="s">
        <v>1465</v>
      </c>
      <c r="C42" t="s">
        <v>13</v>
      </c>
      <c r="E42" t="s">
        <v>1466</v>
      </c>
      <c r="F42">
        <v>4934</v>
      </c>
      <c r="G42" t="s">
        <v>670</v>
      </c>
      <c r="H42" t="s">
        <v>16</v>
      </c>
      <c r="I42" t="s">
        <v>59</v>
      </c>
      <c r="J42" t="s">
        <v>60</v>
      </c>
      <c r="K42" t="s">
        <v>55</v>
      </c>
      <c r="L42" t="str">
        <f>HYPERLINK("https://business-monitor.ch/de/companies/584100-landgasthof-baeren-ag?utm_source=oberaargau","PROFIL ANSEHEN")</f>
        <v>PROFIL ANSEHEN</v>
      </c>
    </row>
    <row r="43" spans="1:12" x14ac:dyDescent="0.2">
      <c r="A43" t="s">
        <v>74</v>
      </c>
      <c r="B43" t="s">
        <v>75</v>
      </c>
      <c r="C43" t="s">
        <v>13</v>
      </c>
      <c r="E43" t="s">
        <v>76</v>
      </c>
      <c r="F43">
        <v>4900</v>
      </c>
      <c r="G43" t="s">
        <v>41</v>
      </c>
      <c r="H43" t="s">
        <v>16</v>
      </c>
      <c r="I43" t="s">
        <v>77</v>
      </c>
      <c r="J43" t="s">
        <v>78</v>
      </c>
      <c r="K43" t="s">
        <v>55</v>
      </c>
      <c r="L43" t="str">
        <f>HYPERLINK("https://business-monitor.ch/de/companies/233418-he-hector-egger-bauunternehmung-ag?utm_source=oberaargau","PROFIL ANSEHEN")</f>
        <v>PROFIL ANSEHEN</v>
      </c>
    </row>
    <row r="44" spans="1:12" x14ac:dyDescent="0.2">
      <c r="A44" t="s">
        <v>695</v>
      </c>
      <c r="B44" t="s">
        <v>696</v>
      </c>
      <c r="C44" t="s">
        <v>13</v>
      </c>
      <c r="E44" t="s">
        <v>697</v>
      </c>
      <c r="F44">
        <v>3360</v>
      </c>
      <c r="G44" t="s">
        <v>35</v>
      </c>
      <c r="H44" t="s">
        <v>16</v>
      </c>
      <c r="I44" t="s">
        <v>570</v>
      </c>
      <c r="J44" t="s">
        <v>571</v>
      </c>
      <c r="K44" t="s">
        <v>55</v>
      </c>
      <c r="L44" t="str">
        <f>HYPERLINK("https://business-monitor.ch/de/companies/69827-doerflinger-partner-ag?utm_source=oberaargau","PROFIL ANSEHEN")</f>
        <v>PROFIL ANSEHEN</v>
      </c>
    </row>
    <row r="45" spans="1:12" x14ac:dyDescent="0.2">
      <c r="A45" t="s">
        <v>1478</v>
      </c>
      <c r="B45" t="s">
        <v>1479</v>
      </c>
      <c r="C45" t="s">
        <v>13</v>
      </c>
      <c r="E45" t="s">
        <v>1025</v>
      </c>
      <c r="F45">
        <v>4900</v>
      </c>
      <c r="G45" t="s">
        <v>41</v>
      </c>
      <c r="H45" t="s">
        <v>16</v>
      </c>
      <c r="I45" t="s">
        <v>642</v>
      </c>
      <c r="J45" t="s">
        <v>643</v>
      </c>
      <c r="K45" t="s">
        <v>55</v>
      </c>
      <c r="L45" t="str">
        <f>HYPERLINK("https://business-monitor.ch/de/companies/170951-garage-gautschi-ag?utm_source=oberaargau","PROFIL ANSEHEN")</f>
        <v>PROFIL ANSEHEN</v>
      </c>
    </row>
    <row r="46" spans="1:12" x14ac:dyDescent="0.2">
      <c r="A46" t="s">
        <v>1731</v>
      </c>
      <c r="B46" t="s">
        <v>1732</v>
      </c>
      <c r="C46" t="s">
        <v>13</v>
      </c>
      <c r="E46" t="s">
        <v>1733</v>
      </c>
      <c r="F46">
        <v>4900</v>
      </c>
      <c r="G46" t="s">
        <v>41</v>
      </c>
      <c r="H46" t="s">
        <v>16</v>
      </c>
      <c r="I46" t="s">
        <v>917</v>
      </c>
      <c r="J46" t="s">
        <v>918</v>
      </c>
      <c r="K46" t="s">
        <v>55</v>
      </c>
      <c r="L46" t="str">
        <f>HYPERLINK("https://business-monitor.ch/de/companies/66551-haeusler-ingenieure-ag?utm_source=oberaargau","PROFIL ANSEHEN")</f>
        <v>PROFIL ANSEHEN</v>
      </c>
    </row>
    <row r="47" spans="1:12" x14ac:dyDescent="0.2">
      <c r="A47" t="s">
        <v>349</v>
      </c>
      <c r="B47" t="s">
        <v>350</v>
      </c>
      <c r="C47" t="s">
        <v>13</v>
      </c>
      <c r="E47" t="s">
        <v>351</v>
      </c>
      <c r="F47">
        <v>4900</v>
      </c>
      <c r="G47" t="s">
        <v>41</v>
      </c>
      <c r="H47" t="s">
        <v>16</v>
      </c>
      <c r="I47" t="s">
        <v>352</v>
      </c>
      <c r="J47" t="s">
        <v>353</v>
      </c>
      <c r="K47" t="s">
        <v>55</v>
      </c>
      <c r="L47" t="str">
        <f>HYPERLINK("https://business-monitor.ch/de/companies/134916-aare-seeland-mobil-ag?utm_source=oberaargau","PROFIL ANSEHEN")</f>
        <v>PROFIL ANSEHEN</v>
      </c>
    </row>
    <row r="48" spans="1:12" x14ac:dyDescent="0.2">
      <c r="A48" t="s">
        <v>534</v>
      </c>
      <c r="B48" t="s">
        <v>535</v>
      </c>
      <c r="C48" t="s">
        <v>13</v>
      </c>
      <c r="E48" t="s">
        <v>536</v>
      </c>
      <c r="F48">
        <v>4932</v>
      </c>
      <c r="G48" t="s">
        <v>325</v>
      </c>
      <c r="H48" t="s">
        <v>16</v>
      </c>
      <c r="I48" t="s">
        <v>537</v>
      </c>
      <c r="J48" t="s">
        <v>538</v>
      </c>
      <c r="K48" t="s">
        <v>55</v>
      </c>
      <c r="L48" t="str">
        <f>HYPERLINK("https://business-monitor.ch/de/companies/74917-jacques-sommer-ag?utm_source=oberaargau","PROFIL ANSEHEN")</f>
        <v>PROFIL ANSEHEN</v>
      </c>
    </row>
    <row r="49" spans="1:12" x14ac:dyDescent="0.2">
      <c r="A49" t="s">
        <v>141</v>
      </c>
      <c r="B49" t="s">
        <v>142</v>
      </c>
      <c r="C49" t="s">
        <v>13</v>
      </c>
      <c r="E49" t="s">
        <v>143</v>
      </c>
      <c r="F49">
        <v>4922</v>
      </c>
      <c r="G49" t="s">
        <v>99</v>
      </c>
      <c r="H49" t="s">
        <v>16</v>
      </c>
      <c r="I49" t="s">
        <v>144</v>
      </c>
      <c r="J49" t="s">
        <v>145</v>
      </c>
      <c r="K49" t="s">
        <v>55</v>
      </c>
      <c r="L49" t="str">
        <f>HYPERLINK("https://business-monitor.ch/de/companies/30333-girsberger-ag?utm_source=oberaargau","PROFIL ANSEHEN")</f>
        <v>PROFIL ANSEHEN</v>
      </c>
    </row>
    <row r="50" spans="1:12" x14ac:dyDescent="0.2">
      <c r="A50" t="s">
        <v>1389</v>
      </c>
      <c r="B50" t="s">
        <v>1390</v>
      </c>
      <c r="C50" t="s">
        <v>13</v>
      </c>
      <c r="E50" t="s">
        <v>1391</v>
      </c>
      <c r="F50">
        <v>4704</v>
      </c>
      <c r="G50" t="s">
        <v>221</v>
      </c>
      <c r="H50" t="s">
        <v>16</v>
      </c>
      <c r="I50" t="s">
        <v>153</v>
      </c>
      <c r="J50" t="s">
        <v>154</v>
      </c>
      <c r="K50" t="s">
        <v>55</v>
      </c>
      <c r="L50" t="str">
        <f>HYPERLINK("https://business-monitor.ch/de/companies/313671-sumec-ag?utm_source=oberaargau","PROFIL ANSEHEN")</f>
        <v>PROFIL ANSEHEN</v>
      </c>
    </row>
    <row r="51" spans="1:12" x14ac:dyDescent="0.2">
      <c r="A51" t="s">
        <v>1247</v>
      </c>
      <c r="B51" t="s">
        <v>1248</v>
      </c>
      <c r="C51" t="s">
        <v>13</v>
      </c>
      <c r="E51" t="s">
        <v>1249</v>
      </c>
      <c r="F51">
        <v>3360</v>
      </c>
      <c r="G51" t="s">
        <v>35</v>
      </c>
      <c r="H51" t="s">
        <v>16</v>
      </c>
      <c r="I51" t="s">
        <v>807</v>
      </c>
      <c r="J51" t="s">
        <v>808</v>
      </c>
      <c r="K51" t="s">
        <v>55</v>
      </c>
      <c r="L51" t="str">
        <f>HYPERLINK("https://business-monitor.ch/de/companies/72226-hans-christen-ag?utm_source=oberaargau","PROFIL ANSEHEN")</f>
        <v>PROFIL ANSEHEN</v>
      </c>
    </row>
    <row r="52" spans="1:12" x14ac:dyDescent="0.2">
      <c r="A52" t="s">
        <v>333</v>
      </c>
      <c r="B52" t="s">
        <v>334</v>
      </c>
      <c r="C52" t="s">
        <v>13</v>
      </c>
      <c r="E52" t="s">
        <v>118</v>
      </c>
      <c r="F52">
        <v>4900</v>
      </c>
      <c r="G52" t="s">
        <v>41</v>
      </c>
      <c r="H52" t="s">
        <v>16</v>
      </c>
      <c r="I52" t="s">
        <v>335</v>
      </c>
      <c r="J52" t="s">
        <v>336</v>
      </c>
      <c r="K52" t="s">
        <v>55</v>
      </c>
      <c r="L52" t="str">
        <f>HYPERLINK("https://business-monitor.ch/de/companies/245054-avesco-rent-ag?utm_source=oberaargau","PROFIL ANSEHEN")</f>
        <v>PROFIL ANSEHEN</v>
      </c>
    </row>
    <row r="53" spans="1:12" x14ac:dyDescent="0.2">
      <c r="A53" t="s">
        <v>108</v>
      </c>
      <c r="B53" t="s">
        <v>109</v>
      </c>
      <c r="C53" t="s">
        <v>13</v>
      </c>
      <c r="E53" t="s">
        <v>110</v>
      </c>
      <c r="F53">
        <v>3380</v>
      </c>
      <c r="G53" t="s">
        <v>29</v>
      </c>
      <c r="H53" t="s">
        <v>16</v>
      </c>
      <c r="I53" t="s">
        <v>91</v>
      </c>
      <c r="J53" t="s">
        <v>92</v>
      </c>
      <c r="K53" t="s">
        <v>55</v>
      </c>
      <c r="L53" t="str">
        <f>HYPERLINK("https://business-monitor.ch/de/companies/95261-transportgemeinschaft-ag?utm_source=oberaargau","PROFIL ANSEHEN")</f>
        <v>PROFIL ANSEHEN</v>
      </c>
    </row>
    <row r="54" spans="1:12" x14ac:dyDescent="0.2">
      <c r="A54" t="s">
        <v>215</v>
      </c>
      <c r="B54" t="s">
        <v>216</v>
      </c>
      <c r="C54" t="s">
        <v>13</v>
      </c>
      <c r="E54" t="s">
        <v>217</v>
      </c>
      <c r="F54">
        <v>4900</v>
      </c>
      <c r="G54" t="s">
        <v>41</v>
      </c>
      <c r="H54" t="s">
        <v>16</v>
      </c>
      <c r="I54" t="s">
        <v>149</v>
      </c>
      <c r="J54" t="s">
        <v>150</v>
      </c>
      <c r="K54" t="s">
        <v>55</v>
      </c>
      <c r="L54" t="str">
        <f>HYPERLINK("https://business-monitor.ch/de/companies/232198-ib-langenthal-ag?utm_source=oberaargau","PROFIL ANSEHEN")</f>
        <v>PROFIL ANSEHEN</v>
      </c>
    </row>
    <row r="55" spans="1:12" x14ac:dyDescent="0.2">
      <c r="A55" t="s">
        <v>1044</v>
      </c>
      <c r="B55" t="s">
        <v>1045</v>
      </c>
      <c r="C55" t="s">
        <v>13</v>
      </c>
      <c r="E55" t="s">
        <v>1046</v>
      </c>
      <c r="F55">
        <v>4900</v>
      </c>
      <c r="G55" t="s">
        <v>41</v>
      </c>
      <c r="H55" t="s">
        <v>16</v>
      </c>
      <c r="I55" t="s">
        <v>642</v>
      </c>
      <c r="J55" t="s">
        <v>643</v>
      </c>
      <c r="K55" t="s">
        <v>55</v>
      </c>
      <c r="L55" t="str">
        <f>HYPERLINK("https://business-monitor.ch/de/companies/975210-autoverkehr-ag-langenthal?utm_source=oberaargau","PROFIL ANSEHEN")</f>
        <v>PROFIL ANSEHEN</v>
      </c>
    </row>
    <row r="56" spans="1:12" x14ac:dyDescent="0.2">
      <c r="A56" t="s">
        <v>3526</v>
      </c>
      <c r="B56" t="s">
        <v>3527</v>
      </c>
      <c r="C56" t="s">
        <v>13</v>
      </c>
      <c r="E56" t="s">
        <v>14364</v>
      </c>
      <c r="F56">
        <v>4954</v>
      </c>
      <c r="G56" t="s">
        <v>359</v>
      </c>
      <c r="H56" t="s">
        <v>16</v>
      </c>
      <c r="I56" t="s">
        <v>679</v>
      </c>
      <c r="J56" t="s">
        <v>680</v>
      </c>
      <c r="K56" t="s">
        <v>55</v>
      </c>
      <c r="L56" t="str">
        <f>HYPERLINK("https://business-monitor.ch/de/companies/146791-loosli-ag?utm_source=oberaargau","PROFIL ANSEHEN")</f>
        <v>PROFIL ANSEHEN</v>
      </c>
    </row>
    <row r="57" spans="1:12" x14ac:dyDescent="0.2">
      <c r="A57" t="s">
        <v>413</v>
      </c>
      <c r="B57" t="s">
        <v>414</v>
      </c>
      <c r="C57" t="s">
        <v>13</v>
      </c>
      <c r="E57" t="s">
        <v>415</v>
      </c>
      <c r="F57">
        <v>4953</v>
      </c>
      <c r="G57" t="s">
        <v>416</v>
      </c>
      <c r="H57" t="s">
        <v>16</v>
      </c>
      <c r="I57" t="s">
        <v>340</v>
      </c>
      <c r="J57" t="s">
        <v>341</v>
      </c>
      <c r="K57" t="s">
        <v>55</v>
      </c>
      <c r="L57" t="str">
        <f>HYPERLINK("https://business-monitor.ch/de/companies/393473-landi-region-huttwil-ag?utm_source=oberaargau","PROFIL ANSEHEN")</f>
        <v>PROFIL ANSEHEN</v>
      </c>
    </row>
    <row r="58" spans="1:12" x14ac:dyDescent="0.2">
      <c r="A58" t="s">
        <v>151</v>
      </c>
      <c r="B58" t="s">
        <v>152</v>
      </c>
      <c r="C58" t="s">
        <v>13</v>
      </c>
      <c r="E58" t="s">
        <v>52</v>
      </c>
      <c r="F58">
        <v>3360</v>
      </c>
      <c r="G58" t="s">
        <v>35</v>
      </c>
      <c r="H58" t="s">
        <v>16</v>
      </c>
      <c r="I58" t="s">
        <v>153</v>
      </c>
      <c r="J58" t="s">
        <v>154</v>
      </c>
      <c r="K58" t="s">
        <v>55</v>
      </c>
      <c r="L58" t="str">
        <f>HYPERLINK("https://business-monitor.ch/de/companies/184859-fischer-fuel-cell-compressor-ag?utm_source=oberaargau","PROFIL ANSEHEN")</f>
        <v>PROFIL ANSEHEN</v>
      </c>
    </row>
    <row r="59" spans="1:12" x14ac:dyDescent="0.2">
      <c r="A59" t="s">
        <v>1091</v>
      </c>
      <c r="B59" t="s">
        <v>12952</v>
      </c>
      <c r="C59" t="s">
        <v>13</v>
      </c>
      <c r="E59" t="s">
        <v>546</v>
      </c>
      <c r="F59">
        <v>4900</v>
      </c>
      <c r="G59" t="s">
        <v>41</v>
      </c>
      <c r="H59" t="s">
        <v>16</v>
      </c>
      <c r="I59" t="s">
        <v>862</v>
      </c>
      <c r="J59" t="s">
        <v>863</v>
      </c>
      <c r="K59" t="s">
        <v>55</v>
      </c>
      <c r="L59" t="str">
        <f>HYPERLINK("https://business-monitor.ch/de/companies/2659-merkur-medien-ag?utm_source=oberaargau","PROFIL ANSEHEN")</f>
        <v>PROFIL ANSEHEN</v>
      </c>
    </row>
    <row r="60" spans="1:12" x14ac:dyDescent="0.2">
      <c r="A60" t="s">
        <v>2989</v>
      </c>
      <c r="B60" t="s">
        <v>12732</v>
      </c>
      <c r="C60" t="s">
        <v>13</v>
      </c>
      <c r="E60" t="s">
        <v>448</v>
      </c>
      <c r="F60">
        <v>4538</v>
      </c>
      <c r="G60" t="s">
        <v>71</v>
      </c>
      <c r="H60" t="s">
        <v>16</v>
      </c>
      <c r="I60" t="s">
        <v>449</v>
      </c>
      <c r="J60" t="s">
        <v>450</v>
      </c>
      <c r="K60" t="s">
        <v>55</v>
      </c>
      <c r="L60" t="str">
        <f>HYPERLINK("https://business-monitor.ch/de/companies/360178-berner-sauerkraut-ag?utm_source=oberaargau","PROFIL ANSEHEN")</f>
        <v>PROFIL ANSEHEN</v>
      </c>
    </row>
    <row r="61" spans="1:12" x14ac:dyDescent="0.2">
      <c r="A61" t="s">
        <v>259</v>
      </c>
      <c r="B61" t="s">
        <v>12236</v>
      </c>
      <c r="C61" t="s">
        <v>13</v>
      </c>
      <c r="E61" t="s">
        <v>501</v>
      </c>
      <c r="F61">
        <v>4900</v>
      </c>
      <c r="G61" t="s">
        <v>41</v>
      </c>
      <c r="H61" t="s">
        <v>16</v>
      </c>
      <c r="I61" t="s">
        <v>260</v>
      </c>
      <c r="J61" t="s">
        <v>261</v>
      </c>
      <c r="K61" t="s">
        <v>55</v>
      </c>
      <c r="L61" t="str">
        <f>HYPERLINK("https://business-monitor.ch/de/companies/170857-ducksch-anliker-ag?utm_source=oberaargau","PROFIL ANSEHEN")</f>
        <v>PROFIL ANSEHEN</v>
      </c>
    </row>
    <row r="62" spans="1:12" x14ac:dyDescent="0.2">
      <c r="A62" t="s">
        <v>188</v>
      </c>
      <c r="B62" t="s">
        <v>189</v>
      </c>
      <c r="C62" t="s">
        <v>13</v>
      </c>
      <c r="E62" t="s">
        <v>190</v>
      </c>
      <c r="F62">
        <v>4538</v>
      </c>
      <c r="G62" t="s">
        <v>71</v>
      </c>
      <c r="H62" t="s">
        <v>16</v>
      </c>
      <c r="I62" t="s">
        <v>191</v>
      </c>
      <c r="J62" t="s">
        <v>192</v>
      </c>
      <c r="K62" t="s">
        <v>55</v>
      </c>
      <c r="L62" t="str">
        <f>HYPERLINK("https://business-monitor.ch/de/companies/47695-serco-landtechnik-ag?utm_source=oberaargau","PROFIL ANSEHEN")</f>
        <v>PROFIL ANSEHEN</v>
      </c>
    </row>
    <row r="63" spans="1:12" x14ac:dyDescent="0.2">
      <c r="A63" t="s">
        <v>20</v>
      </c>
      <c r="B63" t="s">
        <v>21</v>
      </c>
      <c r="C63" t="s">
        <v>13</v>
      </c>
      <c r="E63" t="s">
        <v>22</v>
      </c>
      <c r="F63">
        <v>4539</v>
      </c>
      <c r="G63" t="s">
        <v>23</v>
      </c>
      <c r="H63" t="s">
        <v>16</v>
      </c>
      <c r="I63" t="s">
        <v>24</v>
      </c>
      <c r="J63" t="s">
        <v>25</v>
      </c>
      <c r="K63" t="s">
        <v>55</v>
      </c>
      <c r="L63" t="str">
        <f>HYPERLINK("https://business-monitor.ch/de/companies/141407-bossinfo-ch-ag?utm_source=oberaargau","PROFIL ANSEHEN")</f>
        <v>PROFIL ANSEHEN</v>
      </c>
    </row>
    <row r="64" spans="1:12" x14ac:dyDescent="0.2">
      <c r="A64" t="s">
        <v>102</v>
      </c>
      <c r="B64" t="s">
        <v>103</v>
      </c>
      <c r="C64" t="s">
        <v>13</v>
      </c>
      <c r="E64" t="s">
        <v>104</v>
      </c>
      <c r="F64">
        <v>4914</v>
      </c>
      <c r="G64" t="s">
        <v>105</v>
      </c>
      <c r="H64" t="s">
        <v>16</v>
      </c>
      <c r="I64" t="s">
        <v>106</v>
      </c>
      <c r="J64" t="s">
        <v>107</v>
      </c>
      <c r="K64" t="s">
        <v>55</v>
      </c>
      <c r="L64" t="str">
        <f>HYPERLINK("https://business-monitor.ch/de/companies/30092-ziegelwerke-roggwil-ag?utm_source=oberaargau","PROFIL ANSEHEN")</f>
        <v>PROFIL ANSEHEN</v>
      </c>
    </row>
    <row r="65" spans="1:12" x14ac:dyDescent="0.2">
      <c r="A65" t="s">
        <v>172</v>
      </c>
      <c r="B65" t="s">
        <v>173</v>
      </c>
      <c r="C65" t="s">
        <v>13</v>
      </c>
      <c r="E65" t="s">
        <v>174</v>
      </c>
      <c r="F65">
        <v>4900</v>
      </c>
      <c r="G65" t="s">
        <v>41</v>
      </c>
      <c r="H65" t="s">
        <v>16</v>
      </c>
      <c r="I65" t="s">
        <v>175</v>
      </c>
      <c r="J65" t="s">
        <v>176</v>
      </c>
      <c r="K65" t="s">
        <v>55</v>
      </c>
      <c r="L65" t="str">
        <f>HYPERLINK("https://business-monitor.ch/de/companies/278991-calag-carrosserie-langenthal-ag?utm_source=oberaargau","PROFIL ANSEHEN")</f>
        <v>PROFIL ANSEHEN</v>
      </c>
    </row>
    <row r="66" spans="1:12" x14ac:dyDescent="0.2">
      <c r="A66" t="s">
        <v>273</v>
      </c>
      <c r="B66" t="s">
        <v>274</v>
      </c>
      <c r="C66" t="s">
        <v>13</v>
      </c>
      <c r="E66" t="s">
        <v>275</v>
      </c>
      <c r="F66">
        <v>4900</v>
      </c>
      <c r="G66" t="s">
        <v>41</v>
      </c>
      <c r="H66" t="s">
        <v>16</v>
      </c>
      <c r="I66" t="s">
        <v>276</v>
      </c>
      <c r="J66" t="s">
        <v>277</v>
      </c>
      <c r="K66" t="s">
        <v>55</v>
      </c>
      <c r="L66" t="str">
        <f>HYPERLINK("https://business-monitor.ch/de/companies/93071-kadi-ag?utm_source=oberaargau","PROFIL ANSEHEN")</f>
        <v>PROFIL ANSEHEN</v>
      </c>
    </row>
    <row r="67" spans="1:12" x14ac:dyDescent="0.2">
      <c r="A67" t="s">
        <v>111</v>
      </c>
      <c r="B67" t="s">
        <v>112</v>
      </c>
      <c r="C67" t="s">
        <v>13</v>
      </c>
      <c r="E67" t="s">
        <v>12005</v>
      </c>
      <c r="F67">
        <v>4537</v>
      </c>
      <c r="G67" t="s">
        <v>113</v>
      </c>
      <c r="H67" t="s">
        <v>16</v>
      </c>
      <c r="I67" t="s">
        <v>114</v>
      </c>
      <c r="J67" t="s">
        <v>115</v>
      </c>
      <c r="K67" t="s">
        <v>55</v>
      </c>
      <c r="L67" t="str">
        <f>HYPERLINK("https://business-monitor.ch/de/companies/72210-knuchel-farben-ag?utm_source=oberaargau","PROFIL ANSEHEN")</f>
        <v>PROFIL ANSEHEN</v>
      </c>
    </row>
    <row r="68" spans="1:12" x14ac:dyDescent="0.2">
      <c r="A68" t="s">
        <v>1101</v>
      </c>
      <c r="B68" t="s">
        <v>1102</v>
      </c>
      <c r="C68" t="s">
        <v>13</v>
      </c>
      <c r="E68" t="s">
        <v>1103</v>
      </c>
      <c r="F68">
        <v>4932</v>
      </c>
      <c r="G68" t="s">
        <v>325</v>
      </c>
      <c r="H68" t="s">
        <v>16</v>
      </c>
      <c r="I68" t="s">
        <v>1104</v>
      </c>
      <c r="J68" t="s">
        <v>1105</v>
      </c>
      <c r="K68" t="s">
        <v>55</v>
      </c>
      <c r="L68" t="str">
        <f>HYPERLINK("https://business-monitor.ch/de/companies/2608-aeschlimann-muehle-ag?utm_source=oberaargau","PROFIL ANSEHEN")</f>
        <v>PROFIL ANSEHEN</v>
      </c>
    </row>
    <row r="69" spans="1:12" x14ac:dyDescent="0.2">
      <c r="A69" t="s">
        <v>872</v>
      </c>
      <c r="B69" t="s">
        <v>873</v>
      </c>
      <c r="C69" t="s">
        <v>13</v>
      </c>
      <c r="E69" t="s">
        <v>874</v>
      </c>
      <c r="F69">
        <v>3367</v>
      </c>
      <c r="G69" t="s">
        <v>455</v>
      </c>
      <c r="H69" t="s">
        <v>16</v>
      </c>
      <c r="I69" t="s">
        <v>875</v>
      </c>
      <c r="J69" t="s">
        <v>876</v>
      </c>
      <c r="K69" t="s">
        <v>55</v>
      </c>
      <c r="L69" t="str">
        <f>HYPERLINK("https://business-monitor.ch/de/companies/24-fbt-fahrzeug-und-maschinenbau-ag?utm_source=oberaargau","PROFIL ANSEHEN")</f>
        <v>PROFIL ANSEHEN</v>
      </c>
    </row>
    <row r="70" spans="1:12" x14ac:dyDescent="0.2">
      <c r="A70" t="s">
        <v>264</v>
      </c>
      <c r="B70" t="s">
        <v>265</v>
      </c>
      <c r="C70" t="s">
        <v>13</v>
      </c>
      <c r="E70" t="s">
        <v>266</v>
      </c>
      <c r="F70">
        <v>4704</v>
      </c>
      <c r="G70" t="s">
        <v>221</v>
      </c>
      <c r="H70" t="s">
        <v>16</v>
      </c>
      <c r="I70" t="s">
        <v>267</v>
      </c>
      <c r="J70" t="s">
        <v>268</v>
      </c>
      <c r="K70" t="s">
        <v>55</v>
      </c>
      <c r="L70" t="str">
        <f>HYPERLINK("https://business-monitor.ch/de/companies/1868-miphalt-ag?utm_source=oberaargau","PROFIL ANSEHEN")</f>
        <v>PROFIL ANSEHEN</v>
      </c>
    </row>
    <row r="71" spans="1:12" x14ac:dyDescent="0.2">
      <c r="A71" t="s">
        <v>11432</v>
      </c>
      <c r="B71" t="s">
        <v>11433</v>
      </c>
      <c r="C71" t="s">
        <v>13</v>
      </c>
      <c r="E71" t="s">
        <v>11434</v>
      </c>
      <c r="F71">
        <v>4704</v>
      </c>
      <c r="G71" t="s">
        <v>221</v>
      </c>
      <c r="H71" t="s">
        <v>16</v>
      </c>
      <c r="I71" t="s">
        <v>1835</v>
      </c>
      <c r="J71" t="s">
        <v>1836</v>
      </c>
      <c r="K71" t="s">
        <v>55</v>
      </c>
      <c r="L71" t="str">
        <f>HYPERLINK("https://business-monitor.ch/de/companies/380895-washtec-ag?utm_source=oberaargau","PROFIL ANSEHEN")</f>
        <v>PROFIL ANSEHEN</v>
      </c>
    </row>
    <row r="72" spans="1:12" x14ac:dyDescent="0.2">
      <c r="A72" t="s">
        <v>291</v>
      </c>
      <c r="B72" t="s">
        <v>292</v>
      </c>
      <c r="C72" t="s">
        <v>13</v>
      </c>
      <c r="E72" t="s">
        <v>293</v>
      </c>
      <c r="F72">
        <v>4900</v>
      </c>
      <c r="G72" t="s">
        <v>41</v>
      </c>
      <c r="H72" t="s">
        <v>16</v>
      </c>
      <c r="I72" t="s">
        <v>294</v>
      </c>
      <c r="J72" t="s">
        <v>295</v>
      </c>
      <c r="K72" t="s">
        <v>55</v>
      </c>
      <c r="L72" t="str">
        <f>HYPERLINK("https://business-monitor.ch/de/companies/170948-frischbeton-langenthal-ag?utm_source=oberaargau","PROFIL ANSEHEN")</f>
        <v>PROFIL ANSEHEN</v>
      </c>
    </row>
    <row r="73" spans="1:12" x14ac:dyDescent="0.2">
      <c r="A73" t="s">
        <v>1373</v>
      </c>
      <c r="B73" t="s">
        <v>1374</v>
      </c>
      <c r="C73" t="s">
        <v>13</v>
      </c>
      <c r="E73" t="s">
        <v>1375</v>
      </c>
      <c r="F73">
        <v>4704</v>
      </c>
      <c r="G73" t="s">
        <v>221</v>
      </c>
      <c r="H73" t="s">
        <v>16</v>
      </c>
      <c r="I73" t="s">
        <v>1376</v>
      </c>
      <c r="J73" t="s">
        <v>1377</v>
      </c>
      <c r="K73" t="s">
        <v>55</v>
      </c>
      <c r="L73" t="str">
        <f>HYPERLINK("https://business-monitor.ch/de/companies/559200-mydose-ag?utm_source=oberaargau","PROFIL ANSEHEN")</f>
        <v>PROFIL ANSEHEN</v>
      </c>
    </row>
    <row r="74" spans="1:12" x14ac:dyDescent="0.2">
      <c r="A74" t="s">
        <v>400</v>
      </c>
      <c r="B74" t="s">
        <v>401</v>
      </c>
      <c r="C74" t="s">
        <v>13</v>
      </c>
      <c r="E74" t="s">
        <v>402</v>
      </c>
      <c r="F74">
        <v>4901</v>
      </c>
      <c r="G74" t="s">
        <v>41</v>
      </c>
      <c r="H74" t="s">
        <v>16</v>
      </c>
      <c r="I74" t="s">
        <v>403</v>
      </c>
      <c r="J74" t="s">
        <v>404</v>
      </c>
      <c r="K74" t="s">
        <v>55</v>
      </c>
      <c r="L74" t="str">
        <f>HYPERLINK("https://business-monitor.ch/de/companies/29868-nencki-ag?utm_source=oberaargau","PROFIL ANSEHEN")</f>
        <v>PROFIL ANSEHEN</v>
      </c>
    </row>
    <row r="75" spans="1:12" x14ac:dyDescent="0.2">
      <c r="A75" t="s">
        <v>356</v>
      </c>
      <c r="B75" t="s">
        <v>357</v>
      </c>
      <c r="C75" t="s">
        <v>13</v>
      </c>
      <c r="E75" t="s">
        <v>358</v>
      </c>
      <c r="F75">
        <v>4954</v>
      </c>
      <c r="G75" t="s">
        <v>359</v>
      </c>
      <c r="H75" t="s">
        <v>16</v>
      </c>
      <c r="I75" t="s">
        <v>304</v>
      </c>
      <c r="J75" t="s">
        <v>305</v>
      </c>
      <c r="K75" t="s">
        <v>55</v>
      </c>
      <c r="L75" t="str">
        <f>HYPERLINK("https://business-monitor.ch/de/companies/472017-clevergie-ag?utm_source=oberaargau","PROFIL ANSEHEN")</f>
        <v>PROFIL ANSEHEN</v>
      </c>
    </row>
    <row r="76" spans="1:12" x14ac:dyDescent="0.2">
      <c r="A76" t="s">
        <v>164</v>
      </c>
      <c r="B76" t="s">
        <v>165</v>
      </c>
      <c r="C76" t="s">
        <v>13</v>
      </c>
      <c r="E76" t="s">
        <v>166</v>
      </c>
      <c r="F76">
        <v>4900</v>
      </c>
      <c r="G76" t="s">
        <v>41</v>
      </c>
      <c r="H76" t="s">
        <v>16</v>
      </c>
      <c r="I76" t="s">
        <v>167</v>
      </c>
      <c r="J76" t="s">
        <v>168</v>
      </c>
      <c r="K76" t="s">
        <v>55</v>
      </c>
      <c r="L76" t="str">
        <f>HYPERLINK("https://business-monitor.ch/de/companies/1035175-witschi-ag?utm_source=oberaargau","PROFIL ANSEHEN")</f>
        <v>PROFIL ANSEHEN</v>
      </c>
    </row>
    <row r="77" spans="1:12" x14ac:dyDescent="0.2">
      <c r="A77" t="s">
        <v>193</v>
      </c>
      <c r="B77" t="s">
        <v>447</v>
      </c>
      <c r="C77" t="s">
        <v>13</v>
      </c>
      <c r="E77" t="s">
        <v>448</v>
      </c>
      <c r="F77">
        <v>4538</v>
      </c>
      <c r="G77" t="s">
        <v>71</v>
      </c>
      <c r="H77" t="s">
        <v>16</v>
      </c>
      <c r="I77" t="s">
        <v>449</v>
      </c>
      <c r="J77" t="s">
        <v>450</v>
      </c>
      <c r="K77" t="s">
        <v>55</v>
      </c>
      <c r="L77" t="str">
        <f>HYPERLINK("https://business-monitor.ch/de/companies/210596-schoeni-finefood-ag?utm_source=oberaargau","PROFIL ANSEHEN")</f>
        <v>PROFIL ANSEHEN</v>
      </c>
    </row>
    <row r="78" spans="1:12" x14ac:dyDescent="0.2">
      <c r="A78" t="s">
        <v>155</v>
      </c>
      <c r="B78" t="s">
        <v>156</v>
      </c>
      <c r="C78" t="s">
        <v>13</v>
      </c>
      <c r="E78" t="s">
        <v>12005</v>
      </c>
      <c r="F78">
        <v>4537</v>
      </c>
      <c r="G78" t="s">
        <v>113</v>
      </c>
      <c r="H78" t="s">
        <v>16</v>
      </c>
      <c r="I78" t="s">
        <v>157</v>
      </c>
      <c r="J78" t="s">
        <v>158</v>
      </c>
      <c r="K78" t="s">
        <v>55</v>
      </c>
      <c r="L78" t="str">
        <f>HYPERLINK("https://business-monitor.ch/de/companies/83939-knuchel-immobilien-ag?utm_source=oberaargau","PROFIL ANSEHEN")</f>
        <v>PROFIL ANSEHEN</v>
      </c>
    </row>
    <row r="79" spans="1:12" x14ac:dyDescent="0.2">
      <c r="A79" t="s">
        <v>802</v>
      </c>
      <c r="B79" t="s">
        <v>13510</v>
      </c>
      <c r="C79" t="s">
        <v>13</v>
      </c>
      <c r="E79" t="s">
        <v>803</v>
      </c>
      <c r="F79">
        <v>4704</v>
      </c>
      <c r="G79" t="s">
        <v>221</v>
      </c>
      <c r="H79" t="s">
        <v>16</v>
      </c>
      <c r="I79" t="s">
        <v>227</v>
      </c>
      <c r="J79" t="s">
        <v>228</v>
      </c>
      <c r="K79" t="s">
        <v>55</v>
      </c>
      <c r="L79" t="str">
        <f>HYPERLINK("https://business-monitor.ch/de/companies/237757-wilma-ag?utm_source=oberaargau","PROFIL ANSEHEN")</f>
        <v>PROFIL ANSEHEN</v>
      </c>
    </row>
    <row r="80" spans="1:12" x14ac:dyDescent="0.2">
      <c r="A80" t="s">
        <v>116</v>
      </c>
      <c r="B80" t="s">
        <v>117</v>
      </c>
      <c r="C80" t="s">
        <v>13</v>
      </c>
      <c r="E80" t="s">
        <v>118</v>
      </c>
      <c r="F80">
        <v>4900</v>
      </c>
      <c r="G80" t="s">
        <v>41</v>
      </c>
      <c r="H80" t="s">
        <v>16</v>
      </c>
      <c r="I80" t="s">
        <v>119</v>
      </c>
      <c r="J80" t="s">
        <v>120</v>
      </c>
      <c r="K80" t="s">
        <v>55</v>
      </c>
      <c r="L80" t="str">
        <f>HYPERLINK("https://business-monitor.ch/de/companies/233483-avesco-ag?utm_source=oberaargau","PROFIL ANSEHEN")</f>
        <v>PROFIL ANSEHEN</v>
      </c>
    </row>
    <row r="81" spans="1:12" x14ac:dyDescent="0.2">
      <c r="A81" t="s">
        <v>239</v>
      </c>
      <c r="B81" t="s">
        <v>240</v>
      </c>
      <c r="C81" t="s">
        <v>13</v>
      </c>
      <c r="E81" t="s">
        <v>241</v>
      </c>
      <c r="F81">
        <v>4704</v>
      </c>
      <c r="G81" t="s">
        <v>221</v>
      </c>
      <c r="H81" t="s">
        <v>16</v>
      </c>
      <c r="I81" t="s">
        <v>242</v>
      </c>
      <c r="J81" t="s">
        <v>243</v>
      </c>
      <c r="K81" t="s">
        <v>55</v>
      </c>
      <c r="L81" t="str">
        <f>HYPERLINK("https://business-monitor.ch/de/companies/70265-iff-ag?utm_source=oberaargau","PROFIL ANSEHEN")</f>
        <v>PROFIL ANSEHEN</v>
      </c>
    </row>
    <row r="82" spans="1:12" x14ac:dyDescent="0.2">
      <c r="A82" t="s">
        <v>1302</v>
      </c>
      <c r="B82" t="s">
        <v>1303</v>
      </c>
      <c r="C82" t="s">
        <v>13</v>
      </c>
      <c r="D82" t="s">
        <v>12235</v>
      </c>
      <c r="E82" t="s">
        <v>98</v>
      </c>
      <c r="F82">
        <v>4922</v>
      </c>
      <c r="G82" t="s">
        <v>99</v>
      </c>
      <c r="H82" t="s">
        <v>16</v>
      </c>
      <c r="I82" t="s">
        <v>276</v>
      </c>
      <c r="J82" t="s">
        <v>277</v>
      </c>
      <c r="K82" t="s">
        <v>55</v>
      </c>
      <c r="L82" t="str">
        <f>HYPERLINK("https://business-monitor.ch/de/companies/982296-triplant-ag?utm_source=oberaargau","PROFIL ANSEHEN")</f>
        <v>PROFIL ANSEHEN</v>
      </c>
    </row>
    <row r="83" spans="1:12" x14ac:dyDescent="0.2">
      <c r="A83" t="s">
        <v>373</v>
      </c>
      <c r="B83" t="s">
        <v>374</v>
      </c>
      <c r="C83" t="s">
        <v>84</v>
      </c>
      <c r="E83" t="s">
        <v>375</v>
      </c>
      <c r="F83">
        <v>4917</v>
      </c>
      <c r="G83" t="s">
        <v>376</v>
      </c>
      <c r="H83" t="s">
        <v>16</v>
      </c>
      <c r="I83" t="s">
        <v>340</v>
      </c>
      <c r="J83" t="s">
        <v>341</v>
      </c>
      <c r="K83" t="s">
        <v>55</v>
      </c>
      <c r="L83" t="str">
        <f>HYPERLINK("https://business-monitor.ch/de/companies/134898-landi-melchnau-buetzberg-genossenschaft?utm_source=oberaargau","PROFIL ANSEHEN")</f>
        <v>PROFIL ANSEHEN</v>
      </c>
    </row>
    <row r="84" spans="1:12" x14ac:dyDescent="0.2">
      <c r="A84" t="s">
        <v>79</v>
      </c>
      <c r="B84" t="s">
        <v>80</v>
      </c>
      <c r="C84" t="s">
        <v>13</v>
      </c>
      <c r="E84" t="s">
        <v>81</v>
      </c>
      <c r="F84">
        <v>3360</v>
      </c>
      <c r="G84" t="s">
        <v>35</v>
      </c>
      <c r="H84" t="s">
        <v>16</v>
      </c>
      <c r="I84" t="s">
        <v>36</v>
      </c>
      <c r="J84" t="s">
        <v>37</v>
      </c>
      <c r="K84" t="s">
        <v>55</v>
      </c>
      <c r="L84" t="str">
        <f>HYPERLINK("https://business-monitor.ch/de/companies/140893-meliofeed-ag?utm_source=oberaargau","PROFIL ANSEHEN")</f>
        <v>PROFIL ANSEHEN</v>
      </c>
    </row>
    <row r="85" spans="1:12" x14ac:dyDescent="0.2">
      <c r="A85" t="s">
        <v>360</v>
      </c>
      <c r="B85" t="s">
        <v>361</v>
      </c>
      <c r="C85" t="s">
        <v>13</v>
      </c>
      <c r="E85" t="s">
        <v>362</v>
      </c>
      <c r="F85">
        <v>4912</v>
      </c>
      <c r="G85" t="s">
        <v>64</v>
      </c>
      <c r="H85" t="s">
        <v>16</v>
      </c>
      <c r="I85" t="s">
        <v>331</v>
      </c>
      <c r="J85" t="s">
        <v>332</v>
      </c>
      <c r="K85" t="s">
        <v>55</v>
      </c>
      <c r="L85" t="str">
        <f>HYPERLINK("https://business-monitor.ch/de/companies/1052136-bunorm-maschinenbau-ag?utm_source=oberaargau","PROFIL ANSEHEN")</f>
        <v>PROFIL ANSEHEN</v>
      </c>
    </row>
    <row r="86" spans="1:12" x14ac:dyDescent="0.2">
      <c r="A86" t="s">
        <v>417</v>
      </c>
      <c r="B86" t="s">
        <v>418</v>
      </c>
      <c r="C86" t="s">
        <v>13</v>
      </c>
      <c r="E86" t="s">
        <v>419</v>
      </c>
      <c r="F86">
        <v>4913</v>
      </c>
      <c r="G86" t="s">
        <v>207</v>
      </c>
      <c r="H86" t="s">
        <v>16</v>
      </c>
      <c r="I86" t="s">
        <v>420</v>
      </c>
      <c r="J86" t="s">
        <v>421</v>
      </c>
      <c r="K86" t="s">
        <v>55</v>
      </c>
      <c r="L86" t="str">
        <f>HYPERLINK("https://business-monitor.ch/de/companies/931455-carvolution-ag?utm_source=oberaargau","PROFIL ANSEHEN")</f>
        <v>PROFIL ANSEHEN</v>
      </c>
    </row>
    <row r="87" spans="1:12" x14ac:dyDescent="0.2">
      <c r="A87" t="s">
        <v>655</v>
      </c>
      <c r="B87" t="s">
        <v>656</v>
      </c>
      <c r="C87" t="s">
        <v>13</v>
      </c>
      <c r="E87" t="s">
        <v>448</v>
      </c>
      <c r="F87">
        <v>4538</v>
      </c>
      <c r="G87" t="s">
        <v>71</v>
      </c>
      <c r="H87" t="s">
        <v>16</v>
      </c>
      <c r="I87" t="s">
        <v>657</v>
      </c>
      <c r="J87" t="s">
        <v>658</v>
      </c>
      <c r="K87" t="s">
        <v>55</v>
      </c>
      <c r="L87" t="str">
        <f>HYPERLINK("https://business-monitor.ch/de/companies/383161-masshard-swisskraut-ag?utm_source=oberaargau","PROFIL ANSEHEN")</f>
        <v>PROFIL ANSEHEN</v>
      </c>
    </row>
    <row r="88" spans="1:12" x14ac:dyDescent="0.2">
      <c r="A88" t="s">
        <v>379</v>
      </c>
      <c r="B88" t="s">
        <v>380</v>
      </c>
      <c r="C88" t="s">
        <v>13</v>
      </c>
      <c r="E88" t="s">
        <v>381</v>
      </c>
      <c r="F88">
        <v>4900</v>
      </c>
      <c r="G88" t="s">
        <v>41</v>
      </c>
      <c r="H88" t="s">
        <v>16</v>
      </c>
      <c r="I88" t="s">
        <v>326</v>
      </c>
      <c r="J88" t="s">
        <v>327</v>
      </c>
      <c r="K88" t="s">
        <v>55</v>
      </c>
      <c r="L88" t="str">
        <f>HYPERLINK("https://business-monitor.ch/de/companies/293937-rudolf-geiser-ag?utm_source=oberaargau","PROFIL ANSEHEN")</f>
        <v>PROFIL ANSEHEN</v>
      </c>
    </row>
    <row r="89" spans="1:12" x14ac:dyDescent="0.2">
      <c r="A89" t="s">
        <v>12237</v>
      </c>
      <c r="B89" t="s">
        <v>12238</v>
      </c>
      <c r="C89" t="s">
        <v>13</v>
      </c>
      <c r="D89" t="s">
        <v>12239</v>
      </c>
      <c r="E89" t="s">
        <v>419</v>
      </c>
      <c r="F89">
        <v>4913</v>
      </c>
      <c r="G89" t="s">
        <v>207</v>
      </c>
      <c r="H89" t="s">
        <v>16</v>
      </c>
      <c r="I89" t="s">
        <v>733</v>
      </c>
      <c r="J89" t="s">
        <v>734</v>
      </c>
      <c r="K89" t="s">
        <v>55</v>
      </c>
      <c r="L89" t="str">
        <f>HYPERLINK("https://business-monitor.ch/de/companies/1192385-cv-trade-ag?utm_source=oberaargau","PROFIL ANSEHEN")</f>
        <v>PROFIL ANSEHEN</v>
      </c>
    </row>
    <row r="90" spans="1:12" x14ac:dyDescent="0.2">
      <c r="A90" t="s">
        <v>740</v>
      </c>
      <c r="B90" t="s">
        <v>741</v>
      </c>
      <c r="C90" t="s">
        <v>13</v>
      </c>
      <c r="E90" t="s">
        <v>518</v>
      </c>
      <c r="F90">
        <v>3360</v>
      </c>
      <c r="G90" t="s">
        <v>35</v>
      </c>
      <c r="H90" t="s">
        <v>16</v>
      </c>
      <c r="I90" t="s">
        <v>519</v>
      </c>
      <c r="J90" t="s">
        <v>520</v>
      </c>
      <c r="K90" t="s">
        <v>55</v>
      </c>
      <c r="L90" t="str">
        <f>HYPERLINK("https://business-monitor.ch/de/companies/457885-suisselearn-media-ag?utm_source=oberaargau","PROFIL ANSEHEN")</f>
        <v>PROFIL ANSEHEN</v>
      </c>
    </row>
    <row r="91" spans="1:12" x14ac:dyDescent="0.2">
      <c r="A91" t="s">
        <v>278</v>
      </c>
      <c r="B91" t="s">
        <v>279</v>
      </c>
      <c r="C91" t="s">
        <v>13</v>
      </c>
      <c r="E91" t="s">
        <v>280</v>
      </c>
      <c r="F91">
        <v>3360</v>
      </c>
      <c r="G91" t="s">
        <v>35</v>
      </c>
      <c r="H91" t="s">
        <v>16</v>
      </c>
      <c r="I91" t="s">
        <v>281</v>
      </c>
      <c r="J91" t="s">
        <v>282</v>
      </c>
      <c r="K91" t="s">
        <v>55</v>
      </c>
      <c r="L91" t="str">
        <f>HYPERLINK("https://business-monitor.ch/de/companies/72457-heiniger-ag?utm_source=oberaargau","PROFIL ANSEHEN")</f>
        <v>PROFIL ANSEHEN</v>
      </c>
    </row>
    <row r="92" spans="1:12" x14ac:dyDescent="0.2">
      <c r="A92" t="s">
        <v>50</v>
      </c>
      <c r="B92" t="s">
        <v>51</v>
      </c>
      <c r="C92" t="s">
        <v>13</v>
      </c>
      <c r="E92" t="s">
        <v>52</v>
      </c>
      <c r="F92">
        <v>3360</v>
      </c>
      <c r="G92" t="s">
        <v>35</v>
      </c>
      <c r="H92" t="s">
        <v>16</v>
      </c>
      <c r="I92" t="s">
        <v>53</v>
      </c>
      <c r="J92" t="s">
        <v>54</v>
      </c>
      <c r="K92" t="s">
        <v>55</v>
      </c>
      <c r="L92" t="str">
        <f>HYPERLINK("https://business-monitor.ch/de/companies/63975-fischer-ag-praezisionsspindeln?utm_source=oberaargau","PROFIL ANSEHEN")</f>
        <v>PROFIL ANSEHEN</v>
      </c>
    </row>
    <row r="93" spans="1:12" x14ac:dyDescent="0.2">
      <c r="A93" t="s">
        <v>262</v>
      </c>
      <c r="B93" t="s">
        <v>13833</v>
      </c>
      <c r="C93" t="s">
        <v>13</v>
      </c>
      <c r="E93" t="s">
        <v>263</v>
      </c>
      <c r="F93">
        <v>4900</v>
      </c>
      <c r="G93" t="s">
        <v>41</v>
      </c>
      <c r="H93" t="s">
        <v>16</v>
      </c>
      <c r="I93" t="s">
        <v>72</v>
      </c>
      <c r="J93" t="s">
        <v>73</v>
      </c>
      <c r="K93" t="s">
        <v>55</v>
      </c>
      <c r="L93" t="str">
        <f>HYPERLINK("https://business-monitor.ch/de/companies/94265-motorex-bucher-group-ag?utm_source=oberaargau","PROFIL ANSEHEN")</f>
        <v>PROFIL ANSEHEN</v>
      </c>
    </row>
    <row r="94" spans="1:12" x14ac:dyDescent="0.2">
      <c r="A94" t="s">
        <v>1729</v>
      </c>
      <c r="B94" t="s">
        <v>1730</v>
      </c>
      <c r="C94" t="s">
        <v>13</v>
      </c>
      <c r="E94" t="s">
        <v>714</v>
      </c>
      <c r="F94">
        <v>4900</v>
      </c>
      <c r="G94" t="s">
        <v>41</v>
      </c>
      <c r="H94" t="s">
        <v>16</v>
      </c>
      <c r="I94" t="s">
        <v>624</v>
      </c>
      <c r="J94" t="s">
        <v>625</v>
      </c>
      <c r="K94" t="s">
        <v>55</v>
      </c>
      <c r="L94" t="str">
        <f>HYPERLINK("https://business-monitor.ch/de/companies/238-hector-egger-holzbau-ag?utm_source=oberaargau","PROFIL ANSEHEN")</f>
        <v>PROFIL ANSEHEN</v>
      </c>
    </row>
    <row r="95" spans="1:12" x14ac:dyDescent="0.2">
      <c r="A95" t="s">
        <v>2547</v>
      </c>
      <c r="B95" t="s">
        <v>2548</v>
      </c>
      <c r="C95" t="s">
        <v>13</v>
      </c>
      <c r="E95" t="s">
        <v>11343</v>
      </c>
      <c r="F95">
        <v>4900</v>
      </c>
      <c r="G95" t="s">
        <v>41</v>
      </c>
      <c r="H95" t="s">
        <v>16</v>
      </c>
      <c r="I95" t="s">
        <v>570</v>
      </c>
      <c r="J95" t="s">
        <v>571</v>
      </c>
      <c r="K95" t="s">
        <v>430</v>
      </c>
      <c r="L95" t="str">
        <f>HYPERLINK("https://business-monitor.ch/de/companies/4592-walter-uebersax-ag?utm_source=oberaargau","PROFIL ANSEHEN")</f>
        <v>PROFIL ANSEHEN</v>
      </c>
    </row>
    <row r="96" spans="1:12" x14ac:dyDescent="0.2">
      <c r="A96" t="s">
        <v>451</v>
      </c>
      <c r="B96" t="s">
        <v>452</v>
      </c>
      <c r="C96" t="s">
        <v>13</v>
      </c>
      <c r="D96" t="s">
        <v>453</v>
      </c>
      <c r="E96" t="s">
        <v>454</v>
      </c>
      <c r="F96">
        <v>3367</v>
      </c>
      <c r="G96" t="s">
        <v>455</v>
      </c>
      <c r="H96" t="s">
        <v>16</v>
      </c>
      <c r="I96" t="s">
        <v>331</v>
      </c>
      <c r="J96" t="s">
        <v>332</v>
      </c>
      <c r="K96" t="s">
        <v>430</v>
      </c>
      <c r="L96" t="str">
        <f>HYPERLINK("https://business-monitor.ch/de/companies/209666-moser-entgratungs-ag?utm_source=oberaargau","PROFIL ANSEHEN")</f>
        <v>PROFIL ANSEHEN</v>
      </c>
    </row>
    <row r="97" spans="1:12" x14ac:dyDescent="0.2">
      <c r="A97" t="s">
        <v>302</v>
      </c>
      <c r="B97" t="s">
        <v>12007</v>
      </c>
      <c r="C97" t="s">
        <v>13</v>
      </c>
      <c r="E97" t="s">
        <v>303</v>
      </c>
      <c r="F97">
        <v>4900</v>
      </c>
      <c r="G97" t="s">
        <v>41</v>
      </c>
      <c r="H97" t="s">
        <v>16</v>
      </c>
      <c r="I97" t="s">
        <v>232</v>
      </c>
      <c r="J97" t="s">
        <v>233</v>
      </c>
      <c r="K97" t="s">
        <v>430</v>
      </c>
      <c r="L97" t="str">
        <f>HYPERLINK("https://business-monitor.ch/de/companies/63763-ruf-aerztetreuhand-ag?utm_source=oberaargau","PROFIL ANSEHEN")</f>
        <v>PROFIL ANSEHEN</v>
      </c>
    </row>
    <row r="98" spans="1:12" x14ac:dyDescent="0.2">
      <c r="A98" t="s">
        <v>1009</v>
      </c>
      <c r="B98" t="s">
        <v>1010</v>
      </c>
      <c r="C98" t="s">
        <v>13</v>
      </c>
      <c r="E98" t="s">
        <v>1011</v>
      </c>
      <c r="F98">
        <v>4932</v>
      </c>
      <c r="G98" t="s">
        <v>325</v>
      </c>
      <c r="H98" t="s">
        <v>16</v>
      </c>
      <c r="I98" t="s">
        <v>53</v>
      </c>
      <c r="J98" t="s">
        <v>54</v>
      </c>
      <c r="K98" t="s">
        <v>430</v>
      </c>
      <c r="L98" t="str">
        <f>HYPERLINK("https://business-monitor.ch/de/companies/73927-jorns-ag?utm_source=oberaargau","PROFIL ANSEHEN")</f>
        <v>PROFIL ANSEHEN</v>
      </c>
    </row>
    <row r="99" spans="1:12" x14ac:dyDescent="0.2">
      <c r="A99" t="s">
        <v>900</v>
      </c>
      <c r="B99" t="s">
        <v>901</v>
      </c>
      <c r="C99" t="s">
        <v>13</v>
      </c>
      <c r="E99" t="s">
        <v>595</v>
      </c>
      <c r="F99">
        <v>4950</v>
      </c>
      <c r="G99" t="s">
        <v>15</v>
      </c>
      <c r="H99" t="s">
        <v>16</v>
      </c>
      <c r="I99" t="s">
        <v>157</v>
      </c>
      <c r="J99" t="s">
        <v>158</v>
      </c>
      <c r="K99" t="s">
        <v>430</v>
      </c>
      <c r="L99" t="str">
        <f>HYPERLINK("https://business-monitor.ch/de/companies/138339-gedex-immobilien-ag?utm_source=oberaargau","PROFIL ANSEHEN")</f>
        <v>PROFIL ANSEHEN</v>
      </c>
    </row>
    <row r="100" spans="1:12" x14ac:dyDescent="0.2">
      <c r="A100" t="s">
        <v>1593</v>
      </c>
      <c r="B100" t="s">
        <v>1594</v>
      </c>
      <c r="C100" t="s">
        <v>13</v>
      </c>
      <c r="E100" t="s">
        <v>678</v>
      </c>
      <c r="F100">
        <v>3360</v>
      </c>
      <c r="G100" t="s">
        <v>35</v>
      </c>
      <c r="H100" t="s">
        <v>16</v>
      </c>
      <c r="I100" t="s">
        <v>227</v>
      </c>
      <c r="J100" t="s">
        <v>228</v>
      </c>
      <c r="K100" t="s">
        <v>430</v>
      </c>
      <c r="L100" t="str">
        <f>HYPERLINK("https://business-monitor.ch/de/companies/584978-fritz-aegerter-ag?utm_source=oberaargau","PROFIL ANSEHEN")</f>
        <v>PROFIL ANSEHEN</v>
      </c>
    </row>
    <row r="101" spans="1:12" x14ac:dyDescent="0.2">
      <c r="A101" t="s">
        <v>3536</v>
      </c>
      <c r="B101" t="s">
        <v>3537</v>
      </c>
      <c r="C101" t="s">
        <v>13</v>
      </c>
      <c r="E101" t="s">
        <v>3216</v>
      </c>
      <c r="F101">
        <v>3366</v>
      </c>
      <c r="G101" t="s">
        <v>728</v>
      </c>
      <c r="H101" t="s">
        <v>16</v>
      </c>
      <c r="I101" t="s">
        <v>679</v>
      </c>
      <c r="J101" t="s">
        <v>680</v>
      </c>
      <c r="K101" t="s">
        <v>430</v>
      </c>
      <c r="L101" t="str">
        <f>HYPERLINK("https://business-monitor.ch/de/companies/140391-luethi-wyder-ag?utm_source=oberaargau","PROFIL ANSEHEN")</f>
        <v>PROFIL ANSEHEN</v>
      </c>
    </row>
    <row r="102" spans="1:12" x14ac:dyDescent="0.2">
      <c r="A102" t="s">
        <v>1680</v>
      </c>
      <c r="B102" t="s">
        <v>1681</v>
      </c>
      <c r="C102" t="s">
        <v>13</v>
      </c>
      <c r="E102" t="s">
        <v>1682</v>
      </c>
      <c r="F102">
        <v>4900</v>
      </c>
      <c r="G102" t="s">
        <v>41</v>
      </c>
      <c r="H102" t="s">
        <v>16</v>
      </c>
      <c r="I102" t="s">
        <v>1683</v>
      </c>
      <c r="J102" t="s">
        <v>1684</v>
      </c>
      <c r="K102" t="s">
        <v>430</v>
      </c>
      <c r="L102" t="str">
        <f>HYPERLINK("https://business-monitor.ch/de/companies/46547-aggarwal-ag?utm_source=oberaargau","PROFIL ANSEHEN")</f>
        <v>PROFIL ANSEHEN</v>
      </c>
    </row>
    <row r="103" spans="1:12" x14ac:dyDescent="0.2">
      <c r="A103" t="s">
        <v>1352</v>
      </c>
      <c r="B103" t="s">
        <v>1353</v>
      </c>
      <c r="C103" t="s">
        <v>13</v>
      </c>
      <c r="E103" t="s">
        <v>1354</v>
      </c>
      <c r="F103">
        <v>4900</v>
      </c>
      <c r="G103" t="s">
        <v>41</v>
      </c>
      <c r="H103" t="s">
        <v>16</v>
      </c>
      <c r="I103" t="s">
        <v>464</v>
      </c>
      <c r="J103" t="s">
        <v>465</v>
      </c>
      <c r="K103" t="s">
        <v>430</v>
      </c>
      <c r="L103" t="str">
        <f>HYPERLINK("https://business-monitor.ch/de/companies/189561-roe-trans-ag?utm_source=oberaargau","PROFIL ANSEHEN")</f>
        <v>PROFIL ANSEHEN</v>
      </c>
    </row>
    <row r="104" spans="1:12" x14ac:dyDescent="0.2">
      <c r="A104" t="s">
        <v>1358</v>
      </c>
      <c r="B104" t="s">
        <v>1359</v>
      </c>
      <c r="C104" t="s">
        <v>13</v>
      </c>
      <c r="E104" t="s">
        <v>1360</v>
      </c>
      <c r="F104">
        <v>4900</v>
      </c>
      <c r="G104" t="s">
        <v>41</v>
      </c>
      <c r="H104" t="s">
        <v>16</v>
      </c>
      <c r="I104" t="s">
        <v>1361</v>
      </c>
      <c r="J104" t="s">
        <v>1362</v>
      </c>
      <c r="K104" t="s">
        <v>430</v>
      </c>
      <c r="L104" t="str">
        <f>HYPERLINK("https://business-monitor.ch/de/companies/188880-balsiger-textil-ag?utm_source=oberaargau","PROFIL ANSEHEN")</f>
        <v>PROFIL ANSEHEN</v>
      </c>
    </row>
    <row r="105" spans="1:12" x14ac:dyDescent="0.2">
      <c r="A105" t="s">
        <v>4062</v>
      </c>
      <c r="B105" t="s">
        <v>11360</v>
      </c>
      <c r="C105" t="s">
        <v>13</v>
      </c>
      <c r="E105" t="s">
        <v>11361</v>
      </c>
      <c r="F105">
        <v>4538</v>
      </c>
      <c r="G105" t="s">
        <v>71</v>
      </c>
      <c r="H105" t="s">
        <v>16</v>
      </c>
      <c r="I105" t="s">
        <v>12668</v>
      </c>
      <c r="J105" t="s">
        <v>12669</v>
      </c>
      <c r="K105" t="s">
        <v>430</v>
      </c>
      <c r="L105" t="str">
        <f>HYPERLINK("https://business-monitor.ch/de/companies/1136892-qubag-fahrzeugbau-ag?utm_source=oberaargau","PROFIL ANSEHEN")</f>
        <v>PROFIL ANSEHEN</v>
      </c>
    </row>
    <row r="106" spans="1:12" x14ac:dyDescent="0.2">
      <c r="A106" t="s">
        <v>5675</v>
      </c>
      <c r="B106" t="s">
        <v>5676</v>
      </c>
      <c r="C106" t="s">
        <v>13</v>
      </c>
      <c r="D106" t="s">
        <v>5677</v>
      </c>
      <c r="E106" t="s">
        <v>1190</v>
      </c>
      <c r="F106">
        <v>4900</v>
      </c>
      <c r="G106" t="s">
        <v>41</v>
      </c>
      <c r="H106" t="s">
        <v>16</v>
      </c>
      <c r="I106" t="s">
        <v>966</v>
      </c>
      <c r="J106" t="s">
        <v>967</v>
      </c>
      <c r="K106" t="s">
        <v>430</v>
      </c>
      <c r="L106" t="str">
        <f>HYPERLINK("https://business-monitor.ch/de/companies/219274-parking-langete-ag?utm_source=oberaargau","PROFIL ANSEHEN")</f>
        <v>PROFIL ANSEHEN</v>
      </c>
    </row>
    <row r="107" spans="1:12" x14ac:dyDescent="0.2">
      <c r="A107" t="s">
        <v>792</v>
      </c>
      <c r="B107" t="s">
        <v>793</v>
      </c>
      <c r="C107" t="s">
        <v>13</v>
      </c>
      <c r="E107" t="s">
        <v>794</v>
      </c>
      <c r="F107">
        <v>3368</v>
      </c>
      <c r="G107" t="s">
        <v>308</v>
      </c>
      <c r="H107" t="s">
        <v>16</v>
      </c>
      <c r="I107" t="s">
        <v>795</v>
      </c>
      <c r="J107" t="s">
        <v>796</v>
      </c>
      <c r="K107" t="s">
        <v>430</v>
      </c>
      <c r="L107" t="str">
        <f>HYPERLINK("https://business-monitor.ch/de/companies/171565-aeschlimann-hotelbedarf-ag?utm_source=oberaargau","PROFIL ANSEHEN")</f>
        <v>PROFIL ANSEHEN</v>
      </c>
    </row>
    <row r="108" spans="1:12" x14ac:dyDescent="0.2">
      <c r="A108" t="s">
        <v>204</v>
      </c>
      <c r="B108" t="s">
        <v>205</v>
      </c>
      <c r="C108" t="s">
        <v>13</v>
      </c>
      <c r="E108" t="s">
        <v>206</v>
      </c>
      <c r="F108">
        <v>4913</v>
      </c>
      <c r="G108" t="s">
        <v>207</v>
      </c>
      <c r="H108" t="s">
        <v>16</v>
      </c>
      <c r="I108" t="s">
        <v>208</v>
      </c>
      <c r="J108" t="s">
        <v>209</v>
      </c>
      <c r="K108" t="s">
        <v>430</v>
      </c>
      <c r="L108" t="str">
        <f>HYPERLINK("https://business-monitor.ch/de/companies/134985-w-ottiger-ag?utm_source=oberaargau","PROFIL ANSEHEN")</f>
        <v>PROFIL ANSEHEN</v>
      </c>
    </row>
    <row r="109" spans="1:12" x14ac:dyDescent="0.2">
      <c r="A109" t="s">
        <v>12956</v>
      </c>
      <c r="B109" t="s">
        <v>12957</v>
      </c>
      <c r="C109" t="s">
        <v>202</v>
      </c>
      <c r="E109" t="s">
        <v>8425</v>
      </c>
      <c r="F109">
        <v>4950</v>
      </c>
      <c r="G109" t="s">
        <v>15</v>
      </c>
      <c r="H109" t="s">
        <v>16</v>
      </c>
      <c r="I109" t="s">
        <v>824</v>
      </c>
      <c r="J109" t="s">
        <v>825</v>
      </c>
      <c r="K109" t="s">
        <v>430</v>
      </c>
      <c r="L109" t="str">
        <f>HYPERLINK("https://business-monitor.ch/de/companies/1240498-restaurant-bahnhof-huttwil-gmbh?utm_source=oberaargau","PROFIL ANSEHEN")</f>
        <v>PROFIL ANSEHEN</v>
      </c>
    </row>
    <row r="110" spans="1:12" x14ac:dyDescent="0.2">
      <c r="A110" t="s">
        <v>1308</v>
      </c>
      <c r="B110" t="s">
        <v>1309</v>
      </c>
      <c r="C110" t="s">
        <v>202</v>
      </c>
      <c r="E110" t="s">
        <v>1310</v>
      </c>
      <c r="F110">
        <v>3360</v>
      </c>
      <c r="G110" t="s">
        <v>35</v>
      </c>
      <c r="H110" t="s">
        <v>16</v>
      </c>
      <c r="I110" t="s">
        <v>260</v>
      </c>
      <c r="J110" t="s">
        <v>261</v>
      </c>
      <c r="K110" t="s">
        <v>430</v>
      </c>
      <c r="L110" t="str">
        <f>HYPERLINK("https://business-monitor.ch/de/companies/24714-an-inovabau-gmbh?utm_source=oberaargau","PROFIL ANSEHEN")</f>
        <v>PROFIL ANSEHEN</v>
      </c>
    </row>
    <row r="111" spans="1:12" x14ac:dyDescent="0.2">
      <c r="A111" t="s">
        <v>539</v>
      </c>
      <c r="B111" t="s">
        <v>540</v>
      </c>
      <c r="C111" t="s">
        <v>13</v>
      </c>
      <c r="E111" t="s">
        <v>541</v>
      </c>
      <c r="F111">
        <v>3360</v>
      </c>
      <c r="G111" t="s">
        <v>35</v>
      </c>
      <c r="H111" t="s">
        <v>16</v>
      </c>
      <c r="I111" t="s">
        <v>542</v>
      </c>
      <c r="J111" t="s">
        <v>543</v>
      </c>
      <c r="K111" t="s">
        <v>430</v>
      </c>
      <c r="L111" t="str">
        <f>HYPERLINK("https://business-monitor.ch/de/companies/188362-dafag-dach-fassadensysteme-ag?utm_source=oberaargau","PROFIL ANSEHEN")</f>
        <v>PROFIL ANSEHEN</v>
      </c>
    </row>
    <row r="112" spans="1:12" x14ac:dyDescent="0.2">
      <c r="A112" t="s">
        <v>422</v>
      </c>
      <c r="B112" t="s">
        <v>423</v>
      </c>
      <c r="C112" t="s">
        <v>13</v>
      </c>
      <c r="E112" t="s">
        <v>424</v>
      </c>
      <c r="F112">
        <v>4900</v>
      </c>
      <c r="G112" t="s">
        <v>41</v>
      </c>
      <c r="H112" t="s">
        <v>16</v>
      </c>
      <c r="I112" t="s">
        <v>366</v>
      </c>
      <c r="J112" t="s">
        <v>367</v>
      </c>
      <c r="K112" t="s">
        <v>430</v>
      </c>
      <c r="L112" t="str">
        <f>HYPERLINK("https://business-monitor.ch/de/companies/643544-haslibrunnen-ag?utm_source=oberaargau","PROFIL ANSEHEN")</f>
        <v>PROFIL ANSEHEN</v>
      </c>
    </row>
    <row r="113" spans="1:12" x14ac:dyDescent="0.2">
      <c r="A113" t="s">
        <v>14238</v>
      </c>
      <c r="B113" t="s">
        <v>14239</v>
      </c>
      <c r="C113" t="s">
        <v>13</v>
      </c>
      <c r="E113" t="s">
        <v>2089</v>
      </c>
      <c r="F113">
        <v>4950</v>
      </c>
      <c r="G113" t="s">
        <v>15</v>
      </c>
      <c r="H113" t="s">
        <v>16</v>
      </c>
      <c r="I113" t="s">
        <v>59</v>
      </c>
      <c r="J113" t="s">
        <v>60</v>
      </c>
      <c r="K113" t="s">
        <v>430</v>
      </c>
      <c r="L113" t="str">
        <f>HYPERLINK("https://business-monitor.ch/de/companies/1286155-woodlodge-ag?utm_source=oberaargau","PROFIL ANSEHEN")</f>
        <v>PROFIL ANSEHEN</v>
      </c>
    </row>
    <row r="114" spans="1:12" x14ac:dyDescent="0.2">
      <c r="A114" t="s">
        <v>1751</v>
      </c>
      <c r="B114" t="s">
        <v>11436</v>
      </c>
      <c r="C114" t="s">
        <v>13</v>
      </c>
      <c r="E114" t="s">
        <v>1752</v>
      </c>
      <c r="F114">
        <v>4537</v>
      </c>
      <c r="G114" t="s">
        <v>113</v>
      </c>
      <c r="H114" t="s">
        <v>16</v>
      </c>
      <c r="I114" t="s">
        <v>974</v>
      </c>
      <c r="J114" t="s">
        <v>975</v>
      </c>
      <c r="K114" t="s">
        <v>430</v>
      </c>
      <c r="L114" t="str">
        <f>HYPERLINK("https://business-monitor.ch/de/companies/87212-eschler-fahrzeugbau-ag-wiedlisbach?utm_source=oberaargau","PROFIL ANSEHEN")</f>
        <v>PROFIL ANSEHEN</v>
      </c>
    </row>
    <row r="115" spans="1:12" x14ac:dyDescent="0.2">
      <c r="A115" t="s">
        <v>200</v>
      </c>
      <c r="B115" t="s">
        <v>201</v>
      </c>
      <c r="C115" t="s">
        <v>202</v>
      </c>
      <c r="E115" t="s">
        <v>203</v>
      </c>
      <c r="F115">
        <v>4900</v>
      </c>
      <c r="G115" t="s">
        <v>41</v>
      </c>
      <c r="H115" t="s">
        <v>16</v>
      </c>
      <c r="I115" t="s">
        <v>167</v>
      </c>
      <c r="J115" t="s">
        <v>168</v>
      </c>
      <c r="K115" t="s">
        <v>430</v>
      </c>
      <c r="L115" t="str">
        <f>HYPERLINK("https://business-monitor.ch/de/companies/234236-bernhard-bau-gmbh?utm_source=oberaargau","PROFIL ANSEHEN")</f>
        <v>PROFIL ANSEHEN</v>
      </c>
    </row>
    <row r="116" spans="1:12" x14ac:dyDescent="0.2">
      <c r="A116" t="s">
        <v>1701</v>
      </c>
      <c r="B116" t="s">
        <v>1702</v>
      </c>
      <c r="C116" t="s">
        <v>13</v>
      </c>
      <c r="D116" t="s">
        <v>1703</v>
      </c>
      <c r="E116" t="s">
        <v>407</v>
      </c>
      <c r="F116">
        <v>4538</v>
      </c>
      <c r="G116" t="s">
        <v>71</v>
      </c>
      <c r="H116" t="s">
        <v>16</v>
      </c>
      <c r="I116" t="s">
        <v>1704</v>
      </c>
      <c r="J116" t="s">
        <v>1705</v>
      </c>
      <c r="K116" t="s">
        <v>430</v>
      </c>
      <c r="L116" t="str">
        <f>HYPERLINK("https://business-monitor.ch/de/companies/509326-summerset-yachting-ag?utm_source=oberaargau","PROFIL ANSEHEN")</f>
        <v>PROFIL ANSEHEN</v>
      </c>
    </row>
    <row r="117" spans="1:12" x14ac:dyDescent="0.2">
      <c r="A117" t="s">
        <v>644</v>
      </c>
      <c r="B117" t="s">
        <v>645</v>
      </c>
      <c r="C117" t="s">
        <v>202</v>
      </c>
      <c r="E117" t="s">
        <v>646</v>
      </c>
      <c r="F117">
        <v>3360</v>
      </c>
      <c r="G117" t="s">
        <v>35</v>
      </c>
      <c r="H117" t="s">
        <v>16</v>
      </c>
      <c r="I117" t="s">
        <v>260</v>
      </c>
      <c r="J117" t="s">
        <v>261</v>
      </c>
      <c r="K117" t="s">
        <v>430</v>
      </c>
      <c r="L117" t="str">
        <f>HYPERLINK("https://business-monitor.ch/de/companies/61630-forum-a-gmbh?utm_source=oberaargau","PROFIL ANSEHEN")</f>
        <v>PROFIL ANSEHEN</v>
      </c>
    </row>
    <row r="118" spans="1:12" x14ac:dyDescent="0.2">
      <c r="A118" t="s">
        <v>10466</v>
      </c>
      <c r="B118" t="s">
        <v>10467</v>
      </c>
      <c r="C118" t="s">
        <v>13</v>
      </c>
      <c r="E118" t="s">
        <v>528</v>
      </c>
      <c r="F118">
        <v>4912</v>
      </c>
      <c r="G118" t="s">
        <v>64</v>
      </c>
      <c r="H118" t="s">
        <v>16</v>
      </c>
      <c r="I118" t="s">
        <v>153</v>
      </c>
      <c r="J118" t="s">
        <v>154</v>
      </c>
      <c r="K118" t="s">
        <v>430</v>
      </c>
      <c r="L118" t="str">
        <f>HYPERLINK("https://business-monitor.ch/de/companies/400792-microwaterjet-ag?utm_source=oberaargau","PROFIL ANSEHEN")</f>
        <v>PROFIL ANSEHEN</v>
      </c>
    </row>
    <row r="119" spans="1:12" x14ac:dyDescent="0.2">
      <c r="A119" t="s">
        <v>553</v>
      </c>
      <c r="B119" t="s">
        <v>554</v>
      </c>
      <c r="C119" t="s">
        <v>13</v>
      </c>
      <c r="E119" t="s">
        <v>390</v>
      </c>
      <c r="F119">
        <v>4950</v>
      </c>
      <c r="G119" t="s">
        <v>15</v>
      </c>
      <c r="H119" t="s">
        <v>16</v>
      </c>
      <c r="I119" t="s">
        <v>555</v>
      </c>
      <c r="J119" t="s">
        <v>556</v>
      </c>
      <c r="K119" t="s">
        <v>430</v>
      </c>
      <c r="L119" t="str">
        <f>HYPERLINK("https://business-monitor.ch/de/companies/183628-ac-profil-ag?utm_source=oberaargau","PROFIL ANSEHEN")</f>
        <v>PROFIL ANSEHEN</v>
      </c>
    </row>
    <row r="120" spans="1:12" x14ac:dyDescent="0.2">
      <c r="A120" t="s">
        <v>828</v>
      </c>
      <c r="B120" t="s">
        <v>829</v>
      </c>
      <c r="C120" t="s">
        <v>13</v>
      </c>
      <c r="E120" t="s">
        <v>5641</v>
      </c>
      <c r="F120">
        <v>4923</v>
      </c>
      <c r="G120" t="s">
        <v>732</v>
      </c>
      <c r="H120" t="s">
        <v>16</v>
      </c>
      <c r="I120" t="s">
        <v>831</v>
      </c>
      <c r="J120" t="s">
        <v>832</v>
      </c>
      <c r="K120" t="s">
        <v>430</v>
      </c>
      <c r="L120" t="str">
        <f>HYPERLINK("https://business-monitor.ch/de/companies/184878-schlossfabrik-heusser-ag?utm_source=oberaargau","PROFIL ANSEHEN")</f>
        <v>PROFIL ANSEHEN</v>
      </c>
    </row>
    <row r="121" spans="1:12" x14ac:dyDescent="0.2">
      <c r="A121" t="s">
        <v>1700</v>
      </c>
      <c r="B121" t="s">
        <v>12248</v>
      </c>
      <c r="C121" t="s">
        <v>13</v>
      </c>
      <c r="E121" t="s">
        <v>12249</v>
      </c>
      <c r="F121">
        <v>4935</v>
      </c>
      <c r="G121" t="s">
        <v>443</v>
      </c>
      <c r="H121" t="s">
        <v>16</v>
      </c>
      <c r="I121" t="s">
        <v>191</v>
      </c>
      <c r="J121" t="s">
        <v>192</v>
      </c>
      <c r="K121" t="s">
        <v>430</v>
      </c>
      <c r="L121" t="str">
        <f>HYPERLINK("https://business-monitor.ch/de/companies/98603-hadorn-hofduenger-technik-ag?utm_source=oberaargau","PROFIL ANSEHEN")</f>
        <v>PROFIL ANSEHEN</v>
      </c>
    </row>
    <row r="122" spans="1:12" x14ac:dyDescent="0.2">
      <c r="A122" t="s">
        <v>10433</v>
      </c>
      <c r="B122" t="s">
        <v>10434</v>
      </c>
      <c r="C122" t="s">
        <v>13</v>
      </c>
      <c r="E122" t="s">
        <v>1016</v>
      </c>
      <c r="F122">
        <v>4914</v>
      </c>
      <c r="G122" t="s">
        <v>105</v>
      </c>
      <c r="H122" t="s">
        <v>16</v>
      </c>
      <c r="I122" t="s">
        <v>1818</v>
      </c>
      <c r="J122" t="s">
        <v>1819</v>
      </c>
      <c r="K122" t="s">
        <v>430</v>
      </c>
      <c r="L122" t="str">
        <f>HYPERLINK("https://business-monitor.ch/de/companies/1093580-curafox-ag?utm_source=oberaargau","PROFIL ANSEHEN")</f>
        <v>PROFIL ANSEHEN</v>
      </c>
    </row>
    <row r="123" spans="1:12" x14ac:dyDescent="0.2">
      <c r="A123" t="s">
        <v>982</v>
      </c>
      <c r="B123" t="s">
        <v>983</v>
      </c>
      <c r="C123" t="s">
        <v>202</v>
      </c>
      <c r="E123" t="s">
        <v>984</v>
      </c>
      <c r="F123">
        <v>4900</v>
      </c>
      <c r="G123" t="s">
        <v>41</v>
      </c>
      <c r="H123" t="s">
        <v>16</v>
      </c>
      <c r="I123" t="s">
        <v>77</v>
      </c>
      <c r="J123" t="s">
        <v>78</v>
      </c>
      <c r="K123" t="s">
        <v>430</v>
      </c>
      <c r="L123" t="str">
        <f>HYPERLINK("https://business-monitor.ch/de/companies/321618-sbl-invest-gmbh?utm_source=oberaargau","PROFIL ANSEHEN")</f>
        <v>PROFIL ANSEHEN</v>
      </c>
    </row>
    <row r="124" spans="1:12" x14ac:dyDescent="0.2">
      <c r="A124" t="s">
        <v>1475</v>
      </c>
      <c r="B124" t="s">
        <v>1476</v>
      </c>
      <c r="C124" t="s">
        <v>13</v>
      </c>
      <c r="E124" t="s">
        <v>11343</v>
      </c>
      <c r="F124">
        <v>4900</v>
      </c>
      <c r="G124" t="s">
        <v>41</v>
      </c>
      <c r="H124" t="s">
        <v>16</v>
      </c>
      <c r="I124" t="s">
        <v>570</v>
      </c>
      <c r="J124" t="s">
        <v>571</v>
      </c>
      <c r="K124" t="s">
        <v>430</v>
      </c>
      <c r="L124" t="str">
        <f>HYPERLINK("https://business-monitor.ch/de/companies/622081-level-14-ag?utm_source=oberaargau","PROFIL ANSEHEN")</f>
        <v>PROFIL ANSEHEN</v>
      </c>
    </row>
    <row r="125" spans="1:12" x14ac:dyDescent="0.2">
      <c r="A125" t="s">
        <v>1966</v>
      </c>
      <c r="B125" t="s">
        <v>9023</v>
      </c>
      <c r="C125" t="s">
        <v>13</v>
      </c>
      <c r="E125" t="s">
        <v>14364</v>
      </c>
      <c r="F125">
        <v>4954</v>
      </c>
      <c r="G125" t="s">
        <v>359</v>
      </c>
      <c r="H125" t="s">
        <v>16</v>
      </c>
      <c r="I125" t="s">
        <v>144</v>
      </c>
      <c r="J125" t="s">
        <v>145</v>
      </c>
      <c r="K125" t="s">
        <v>430</v>
      </c>
      <c r="L125" t="str">
        <f>HYPERLINK("https://business-monitor.ch/de/companies/225205-loosli-badmoebel-ag?utm_source=oberaargau","PROFIL ANSEHEN")</f>
        <v>PROFIL ANSEHEN</v>
      </c>
    </row>
    <row r="126" spans="1:12" x14ac:dyDescent="0.2">
      <c r="A126" t="s">
        <v>1028</v>
      </c>
      <c r="B126" t="s">
        <v>1029</v>
      </c>
      <c r="C126" t="s">
        <v>13</v>
      </c>
      <c r="E126" t="s">
        <v>1030</v>
      </c>
      <c r="F126">
        <v>3367</v>
      </c>
      <c r="G126" t="s">
        <v>455</v>
      </c>
      <c r="H126" t="s">
        <v>16</v>
      </c>
      <c r="I126" t="s">
        <v>1031</v>
      </c>
      <c r="J126" t="s">
        <v>1032</v>
      </c>
      <c r="K126" t="s">
        <v>430</v>
      </c>
      <c r="L126" t="str">
        <f>HYPERLINK("https://business-monitor.ch/de/companies/173908-rewa-textilservice-ag?utm_source=oberaargau","PROFIL ANSEHEN")</f>
        <v>PROFIL ANSEHEN</v>
      </c>
    </row>
    <row r="127" spans="1:12" x14ac:dyDescent="0.2">
      <c r="A127" t="s">
        <v>1264</v>
      </c>
      <c r="B127" t="s">
        <v>1265</v>
      </c>
      <c r="C127" t="s">
        <v>13</v>
      </c>
      <c r="E127" t="s">
        <v>1266</v>
      </c>
      <c r="F127">
        <v>4900</v>
      </c>
      <c r="G127" t="s">
        <v>41</v>
      </c>
      <c r="H127" t="s">
        <v>16</v>
      </c>
      <c r="I127" t="s">
        <v>1267</v>
      </c>
      <c r="J127" t="s">
        <v>1268</v>
      </c>
      <c r="K127" t="s">
        <v>430</v>
      </c>
      <c r="L127" t="str">
        <f>HYPERLINK("https://business-monitor.ch/de/companies/30371-aro-distribution-ag?utm_source=oberaargau","PROFIL ANSEHEN")</f>
        <v>PROFIL ANSEHEN</v>
      </c>
    </row>
    <row r="128" spans="1:12" x14ac:dyDescent="0.2">
      <c r="A128" t="s">
        <v>1578</v>
      </c>
      <c r="B128" t="s">
        <v>1579</v>
      </c>
      <c r="C128" t="s">
        <v>13</v>
      </c>
      <c r="E128" t="s">
        <v>220</v>
      </c>
      <c r="F128">
        <v>4704</v>
      </c>
      <c r="G128" t="s">
        <v>221</v>
      </c>
      <c r="H128" t="s">
        <v>16</v>
      </c>
      <c r="I128" t="s">
        <v>222</v>
      </c>
      <c r="J128" t="s">
        <v>223</v>
      </c>
      <c r="K128" t="s">
        <v>430</v>
      </c>
      <c r="L128" t="str">
        <f>HYPERLINK("https://business-monitor.ch/de/companies/375347-g-pharma-ag?utm_source=oberaargau","PROFIL ANSEHEN")</f>
        <v>PROFIL ANSEHEN</v>
      </c>
    </row>
    <row r="129" spans="1:12" x14ac:dyDescent="0.2">
      <c r="A129" t="s">
        <v>1188</v>
      </c>
      <c r="B129" t="s">
        <v>1189</v>
      </c>
      <c r="C129" t="s">
        <v>13</v>
      </c>
      <c r="E129" t="s">
        <v>1190</v>
      </c>
      <c r="F129">
        <v>4900</v>
      </c>
      <c r="G129" t="s">
        <v>41</v>
      </c>
      <c r="H129" t="s">
        <v>16</v>
      </c>
      <c r="I129" t="s">
        <v>157</v>
      </c>
      <c r="J129" t="s">
        <v>158</v>
      </c>
      <c r="K129" t="s">
        <v>430</v>
      </c>
      <c r="L129" t="str">
        <f>HYPERLINK("https://business-monitor.ch/de/companies/205446-wl-classic-cars-ag?utm_source=oberaargau","PROFIL ANSEHEN")</f>
        <v>PROFIL ANSEHEN</v>
      </c>
    </row>
    <row r="130" spans="1:12" x14ac:dyDescent="0.2">
      <c r="A130" t="s">
        <v>3453</v>
      </c>
      <c r="B130" t="s">
        <v>3454</v>
      </c>
      <c r="C130" t="s">
        <v>13</v>
      </c>
      <c r="E130" t="s">
        <v>7153</v>
      </c>
      <c r="F130">
        <v>4704</v>
      </c>
      <c r="G130" t="s">
        <v>221</v>
      </c>
      <c r="H130" t="s">
        <v>16</v>
      </c>
      <c r="I130" t="s">
        <v>624</v>
      </c>
      <c r="J130" t="s">
        <v>625</v>
      </c>
      <c r="K130" t="s">
        <v>430</v>
      </c>
      <c r="L130" t="str">
        <f>HYPERLINK("https://business-monitor.ch/de/companies/173628-haudenschild-ag-niederbipp?utm_source=oberaargau","PROFIL ANSEHEN")</f>
        <v>PROFIL ANSEHEN</v>
      </c>
    </row>
    <row r="131" spans="1:12" x14ac:dyDescent="0.2">
      <c r="A131" t="s">
        <v>1185</v>
      </c>
      <c r="B131" t="s">
        <v>1186</v>
      </c>
      <c r="C131" t="s">
        <v>13</v>
      </c>
      <c r="E131" t="s">
        <v>8273</v>
      </c>
      <c r="F131">
        <v>4538</v>
      </c>
      <c r="G131" t="s">
        <v>71</v>
      </c>
      <c r="H131" t="s">
        <v>16</v>
      </c>
      <c r="I131" t="s">
        <v>175</v>
      </c>
      <c r="J131" t="s">
        <v>176</v>
      </c>
      <c r="K131" t="s">
        <v>430</v>
      </c>
      <c r="L131" t="str">
        <f>HYPERLINK("https://business-monitor.ch/de/companies/133369-oehrli-schaer-garage-carrosserie-ag?utm_source=oberaargau","PROFIL ANSEHEN")</f>
        <v>PROFIL ANSEHEN</v>
      </c>
    </row>
    <row r="132" spans="1:12" x14ac:dyDescent="0.2">
      <c r="A132" t="s">
        <v>1785</v>
      </c>
      <c r="B132" t="s">
        <v>1786</v>
      </c>
      <c r="C132" t="s">
        <v>13</v>
      </c>
      <c r="E132" t="s">
        <v>1787</v>
      </c>
      <c r="F132">
        <v>4900</v>
      </c>
      <c r="G132" t="s">
        <v>41</v>
      </c>
      <c r="H132" t="s">
        <v>16</v>
      </c>
      <c r="I132" t="s">
        <v>232</v>
      </c>
      <c r="J132" t="s">
        <v>233</v>
      </c>
      <c r="K132" t="s">
        <v>430</v>
      </c>
      <c r="L132" t="str">
        <f>HYPERLINK("https://business-monitor.ch/de/companies/39614-kummer-treuhand-ag?utm_source=oberaargau","PROFIL ANSEHEN")</f>
        <v>PROFIL ANSEHEN</v>
      </c>
    </row>
    <row r="133" spans="1:12" x14ac:dyDescent="0.2">
      <c r="A133" t="s">
        <v>1191</v>
      </c>
      <c r="B133" t="s">
        <v>1192</v>
      </c>
      <c r="C133" t="s">
        <v>13</v>
      </c>
      <c r="E133" t="s">
        <v>880</v>
      </c>
      <c r="F133">
        <v>3368</v>
      </c>
      <c r="G133" t="s">
        <v>308</v>
      </c>
      <c r="H133" t="s">
        <v>16</v>
      </c>
      <c r="I133" t="s">
        <v>1193</v>
      </c>
      <c r="J133" t="s">
        <v>1194</v>
      </c>
      <c r="K133" t="s">
        <v>430</v>
      </c>
      <c r="L133" t="str">
        <f>HYPERLINK("https://business-monitor.ch/de/companies/696739-reinmann-druckloesungen-ag?utm_source=oberaargau","PROFIL ANSEHEN")</f>
        <v>PROFIL ANSEHEN</v>
      </c>
    </row>
    <row r="134" spans="1:12" x14ac:dyDescent="0.2">
      <c r="A134" t="s">
        <v>251</v>
      </c>
      <c r="B134" t="s">
        <v>252</v>
      </c>
      <c r="C134" t="s">
        <v>13</v>
      </c>
      <c r="E134" t="s">
        <v>253</v>
      </c>
      <c r="F134">
        <v>4900</v>
      </c>
      <c r="G134" t="s">
        <v>41</v>
      </c>
      <c r="H134" t="s">
        <v>16</v>
      </c>
      <c r="I134" t="s">
        <v>254</v>
      </c>
      <c r="J134" t="s">
        <v>255</v>
      </c>
      <c r="K134" t="s">
        <v>430</v>
      </c>
      <c r="L134" t="str">
        <f>HYPERLINK("https://business-monitor.ch/de/companies/302963-renet-ag?utm_source=oberaargau","PROFIL ANSEHEN")</f>
        <v>PROFIL ANSEHEN</v>
      </c>
    </row>
    <row r="135" spans="1:12" x14ac:dyDescent="0.2">
      <c r="A135" t="s">
        <v>1406</v>
      </c>
      <c r="B135" t="s">
        <v>1407</v>
      </c>
      <c r="C135" t="s">
        <v>202</v>
      </c>
      <c r="E135" t="s">
        <v>206</v>
      </c>
      <c r="F135">
        <v>4913</v>
      </c>
      <c r="G135" t="s">
        <v>207</v>
      </c>
      <c r="H135" t="s">
        <v>16</v>
      </c>
      <c r="I135" t="s">
        <v>1409</v>
      </c>
      <c r="J135" t="s">
        <v>1410</v>
      </c>
      <c r="K135" t="s">
        <v>430</v>
      </c>
      <c r="L135" t="str">
        <f>HYPERLINK("https://business-monitor.ch/de/companies/219944-chaes-max-gmbh?utm_source=oberaargau","PROFIL ANSEHEN")</f>
        <v>PROFIL ANSEHEN</v>
      </c>
    </row>
    <row r="136" spans="1:12" x14ac:dyDescent="0.2">
      <c r="A136" t="s">
        <v>393</v>
      </c>
      <c r="B136" t="s">
        <v>394</v>
      </c>
      <c r="C136" t="s">
        <v>13</v>
      </c>
      <c r="E136" t="s">
        <v>395</v>
      </c>
      <c r="F136">
        <v>4538</v>
      </c>
      <c r="G136" t="s">
        <v>71</v>
      </c>
      <c r="H136" t="s">
        <v>16</v>
      </c>
      <c r="I136" t="s">
        <v>340</v>
      </c>
      <c r="J136" t="s">
        <v>341</v>
      </c>
      <c r="K136" t="s">
        <v>430</v>
      </c>
      <c r="L136" t="str">
        <f>HYPERLINK("https://business-monitor.ch/de/companies/229564-landi-bippgaeuthal-ag?utm_source=oberaargau","PROFIL ANSEHEN")</f>
        <v>PROFIL ANSEHEN</v>
      </c>
    </row>
    <row r="137" spans="1:12" x14ac:dyDescent="0.2">
      <c r="A137" t="s">
        <v>1742</v>
      </c>
      <c r="B137" t="s">
        <v>1743</v>
      </c>
      <c r="C137" t="s">
        <v>202</v>
      </c>
      <c r="E137" t="s">
        <v>1354</v>
      </c>
      <c r="F137">
        <v>4900</v>
      </c>
      <c r="G137" t="s">
        <v>41</v>
      </c>
      <c r="H137" t="s">
        <v>16</v>
      </c>
      <c r="I137" t="s">
        <v>1744</v>
      </c>
      <c r="J137" t="s">
        <v>1745</v>
      </c>
      <c r="K137" t="s">
        <v>430</v>
      </c>
      <c r="L137" t="str">
        <f>HYPERLINK("https://business-monitor.ch/de/companies/512477-swissglasboy-gmbh?utm_source=oberaargau","PROFIL ANSEHEN")</f>
        <v>PROFIL ANSEHEN</v>
      </c>
    </row>
    <row r="138" spans="1:12" x14ac:dyDescent="0.2">
      <c r="A138" t="s">
        <v>985</v>
      </c>
      <c r="B138" t="s">
        <v>986</v>
      </c>
      <c r="C138" t="s">
        <v>84</v>
      </c>
      <c r="D138" t="s">
        <v>987</v>
      </c>
      <c r="E138" t="s">
        <v>988</v>
      </c>
      <c r="F138">
        <v>4954</v>
      </c>
      <c r="G138" t="s">
        <v>359</v>
      </c>
      <c r="H138" t="s">
        <v>16</v>
      </c>
      <c r="I138" t="s">
        <v>989</v>
      </c>
      <c r="J138" t="s">
        <v>990</v>
      </c>
      <c r="K138" t="s">
        <v>430</v>
      </c>
      <c r="L138" t="str">
        <f>HYPERLINK("https://business-monitor.ch/de/companies/173459-kaesereigenossenschaft-duerrenbuehl?utm_source=oberaargau","PROFIL ANSEHEN")</f>
        <v>PROFIL ANSEHEN</v>
      </c>
    </row>
    <row r="139" spans="1:12" x14ac:dyDescent="0.2">
      <c r="A139" t="s">
        <v>1079</v>
      </c>
      <c r="B139" t="s">
        <v>1080</v>
      </c>
      <c r="C139" t="s">
        <v>13</v>
      </c>
      <c r="E139" t="s">
        <v>1081</v>
      </c>
      <c r="F139">
        <v>4934</v>
      </c>
      <c r="G139" t="s">
        <v>670</v>
      </c>
      <c r="H139" t="s">
        <v>16</v>
      </c>
      <c r="I139" t="s">
        <v>331</v>
      </c>
      <c r="J139" t="s">
        <v>332</v>
      </c>
      <c r="K139" t="s">
        <v>430</v>
      </c>
      <c r="L139" t="str">
        <f>HYPERLINK("https://business-monitor.ch/de/companies/242142-wsm-praezisionsmechanik-ag?utm_source=oberaargau","PROFIL ANSEHEN")</f>
        <v>PROFIL ANSEHEN</v>
      </c>
    </row>
    <row r="140" spans="1:12" x14ac:dyDescent="0.2">
      <c r="A140" t="s">
        <v>11375</v>
      </c>
      <c r="B140" t="s">
        <v>6600</v>
      </c>
      <c r="C140" t="s">
        <v>13</v>
      </c>
      <c r="E140" t="s">
        <v>6601</v>
      </c>
      <c r="F140">
        <v>4537</v>
      </c>
      <c r="G140" t="s">
        <v>113</v>
      </c>
      <c r="H140" t="s">
        <v>16</v>
      </c>
      <c r="I140" t="s">
        <v>781</v>
      </c>
      <c r="J140" t="s">
        <v>782</v>
      </c>
      <c r="K140" t="s">
        <v>430</v>
      </c>
      <c r="L140" t="str">
        <f>HYPERLINK("https://business-monitor.ch/de/companies/1137363-keller-forstmaschinen-ag?utm_source=oberaargau","PROFIL ANSEHEN")</f>
        <v>PROFIL ANSEHEN</v>
      </c>
    </row>
    <row r="141" spans="1:12" x14ac:dyDescent="0.2">
      <c r="A141" t="s">
        <v>1612</v>
      </c>
      <c r="B141" t="s">
        <v>1613</v>
      </c>
      <c r="C141" t="s">
        <v>13</v>
      </c>
      <c r="E141" t="s">
        <v>1614</v>
      </c>
      <c r="F141">
        <v>3365</v>
      </c>
      <c r="G141" t="s">
        <v>1008</v>
      </c>
      <c r="H141" t="s">
        <v>16</v>
      </c>
      <c r="I141" t="s">
        <v>134</v>
      </c>
      <c r="J141" t="s">
        <v>135</v>
      </c>
      <c r="K141" t="s">
        <v>430</v>
      </c>
      <c r="L141" t="str">
        <f>HYPERLINK("https://business-monitor.ch/de/companies/135160-hm-marti-ag?utm_source=oberaargau","PROFIL ANSEHEN")</f>
        <v>PROFIL ANSEHEN</v>
      </c>
    </row>
    <row r="142" spans="1:12" x14ac:dyDescent="0.2">
      <c r="A142" t="s">
        <v>1774</v>
      </c>
      <c r="B142" t="s">
        <v>1775</v>
      </c>
      <c r="C142" t="s">
        <v>13</v>
      </c>
      <c r="E142" t="s">
        <v>1776</v>
      </c>
      <c r="F142">
        <v>3380</v>
      </c>
      <c r="G142" t="s">
        <v>29</v>
      </c>
      <c r="H142" t="s">
        <v>16</v>
      </c>
      <c r="I142" t="s">
        <v>459</v>
      </c>
      <c r="J142" t="s">
        <v>460</v>
      </c>
      <c r="K142" t="s">
        <v>430</v>
      </c>
      <c r="L142" t="str">
        <f>HYPERLINK("https://business-monitor.ch/de/companies/116958-menz-gerueste-ag?utm_source=oberaargau","PROFIL ANSEHEN")</f>
        <v>PROFIL ANSEHEN</v>
      </c>
    </row>
    <row r="143" spans="1:12" x14ac:dyDescent="0.2">
      <c r="A143" t="s">
        <v>1600</v>
      </c>
      <c r="B143" t="s">
        <v>1601</v>
      </c>
      <c r="C143" t="s">
        <v>13</v>
      </c>
      <c r="E143" t="s">
        <v>1084</v>
      </c>
      <c r="F143">
        <v>4900</v>
      </c>
      <c r="G143" t="s">
        <v>41</v>
      </c>
      <c r="H143" t="s">
        <v>16</v>
      </c>
      <c r="I143" t="s">
        <v>260</v>
      </c>
      <c r="J143" t="s">
        <v>261</v>
      </c>
      <c r="K143" t="s">
        <v>430</v>
      </c>
      <c r="L143" t="str">
        <f>HYPERLINK("https://business-monitor.ch/de/companies/265842-rieder-immobilien-ag?utm_source=oberaargau","PROFIL ANSEHEN")</f>
        <v>PROFIL ANSEHEN</v>
      </c>
    </row>
    <row r="144" spans="1:12" x14ac:dyDescent="0.2">
      <c r="A144" t="s">
        <v>1667</v>
      </c>
      <c r="B144" t="s">
        <v>1668</v>
      </c>
      <c r="C144" t="s">
        <v>13</v>
      </c>
      <c r="D144" t="s">
        <v>1669</v>
      </c>
      <c r="E144" t="s">
        <v>1670</v>
      </c>
      <c r="F144">
        <v>4704</v>
      </c>
      <c r="G144" t="s">
        <v>221</v>
      </c>
      <c r="H144" t="s">
        <v>16</v>
      </c>
      <c r="I144" t="s">
        <v>935</v>
      </c>
      <c r="J144" t="s">
        <v>936</v>
      </c>
      <c r="K144" t="s">
        <v>430</v>
      </c>
      <c r="L144" t="str">
        <f>HYPERLINK("https://business-monitor.ch/de/companies/513053-wunderli-hauser-immobilien-ag?utm_source=oberaargau","PROFIL ANSEHEN")</f>
        <v>PROFIL ANSEHEN</v>
      </c>
    </row>
    <row r="145" spans="1:12" x14ac:dyDescent="0.2">
      <c r="A145" t="s">
        <v>888</v>
      </c>
      <c r="B145" t="s">
        <v>889</v>
      </c>
      <c r="C145" t="s">
        <v>13</v>
      </c>
      <c r="E145" t="s">
        <v>890</v>
      </c>
      <c r="F145">
        <v>3360</v>
      </c>
      <c r="G145" t="s">
        <v>35</v>
      </c>
      <c r="H145" t="s">
        <v>16</v>
      </c>
      <c r="I145" t="s">
        <v>213</v>
      </c>
      <c r="J145" t="s">
        <v>214</v>
      </c>
      <c r="K145" t="s">
        <v>430</v>
      </c>
      <c r="L145" t="str">
        <f>HYPERLINK("https://business-monitor.ch/de/companies/226092-pro-tool-ag?utm_source=oberaargau","PROFIL ANSEHEN")</f>
        <v>PROFIL ANSEHEN</v>
      </c>
    </row>
    <row r="146" spans="1:12" x14ac:dyDescent="0.2">
      <c r="A146" t="s">
        <v>12252</v>
      </c>
      <c r="B146" t="s">
        <v>12253</v>
      </c>
      <c r="C146" t="s">
        <v>13</v>
      </c>
      <c r="D146" t="s">
        <v>2115</v>
      </c>
      <c r="E146" t="s">
        <v>179</v>
      </c>
      <c r="F146">
        <v>4900</v>
      </c>
      <c r="G146" t="s">
        <v>41</v>
      </c>
      <c r="H146" t="s">
        <v>16</v>
      </c>
      <c r="I146" t="s">
        <v>2337</v>
      </c>
      <c r="J146" t="s">
        <v>2338</v>
      </c>
      <c r="K146" t="s">
        <v>430</v>
      </c>
      <c r="L146" t="str">
        <f>HYPERLINK("https://business-monitor.ch/de/companies/266102-futurjns-ag?utm_source=oberaargau","PROFIL ANSEHEN")</f>
        <v>PROFIL ANSEHEN</v>
      </c>
    </row>
    <row r="147" spans="1:12" x14ac:dyDescent="0.2">
      <c r="A147" t="s">
        <v>1609</v>
      </c>
      <c r="B147" t="s">
        <v>1610</v>
      </c>
      <c r="C147" t="s">
        <v>13</v>
      </c>
      <c r="E147" t="s">
        <v>1611</v>
      </c>
      <c r="F147">
        <v>4950</v>
      </c>
      <c r="G147" t="s">
        <v>15</v>
      </c>
      <c r="H147" t="s">
        <v>16</v>
      </c>
      <c r="I147" t="s">
        <v>331</v>
      </c>
      <c r="J147" t="s">
        <v>332</v>
      </c>
      <c r="K147" t="s">
        <v>430</v>
      </c>
      <c r="L147" t="str">
        <f>HYPERLINK("https://business-monitor.ch/de/companies/308455-pro-cam-cnc-ag?utm_source=oberaargau","PROFIL ANSEHEN")</f>
        <v>PROFIL ANSEHEN</v>
      </c>
    </row>
    <row r="148" spans="1:12" x14ac:dyDescent="0.2">
      <c r="A148" t="s">
        <v>322</v>
      </c>
      <c r="B148" t="s">
        <v>323</v>
      </c>
      <c r="C148" t="s">
        <v>13</v>
      </c>
      <c r="E148" t="s">
        <v>324</v>
      </c>
      <c r="F148">
        <v>4932</v>
      </c>
      <c r="G148" t="s">
        <v>325</v>
      </c>
      <c r="H148" t="s">
        <v>16</v>
      </c>
      <c r="I148" t="s">
        <v>326</v>
      </c>
      <c r="J148" t="s">
        <v>327</v>
      </c>
      <c r="K148" t="s">
        <v>430</v>
      </c>
      <c r="L148" t="str">
        <f>HYPERLINK("https://business-monitor.ch/de/companies/171566-wmc-sinterstar-ag?utm_source=oberaargau","PROFIL ANSEHEN")</f>
        <v>PROFIL ANSEHEN</v>
      </c>
    </row>
    <row r="149" spans="1:12" x14ac:dyDescent="0.2">
      <c r="A149" t="s">
        <v>754</v>
      </c>
      <c r="B149" t="s">
        <v>755</v>
      </c>
      <c r="C149" t="s">
        <v>13</v>
      </c>
      <c r="E149" t="s">
        <v>756</v>
      </c>
      <c r="F149">
        <v>3360</v>
      </c>
      <c r="G149" t="s">
        <v>35</v>
      </c>
      <c r="H149" t="s">
        <v>16</v>
      </c>
      <c r="I149" t="s">
        <v>420</v>
      </c>
      <c r="J149" t="s">
        <v>421</v>
      </c>
      <c r="K149" t="s">
        <v>430</v>
      </c>
      <c r="L149" t="str">
        <f>HYPERLINK("https://business-monitor.ch/de/companies/1065526-infrarent-ag?utm_source=oberaargau","PROFIL ANSEHEN")</f>
        <v>PROFIL ANSEHEN</v>
      </c>
    </row>
    <row r="150" spans="1:12" x14ac:dyDescent="0.2">
      <c r="A150" t="s">
        <v>868</v>
      </c>
      <c r="B150" t="s">
        <v>869</v>
      </c>
      <c r="C150" t="s">
        <v>13</v>
      </c>
      <c r="D150" t="s">
        <v>870</v>
      </c>
      <c r="E150" t="s">
        <v>871</v>
      </c>
      <c r="F150">
        <v>4934</v>
      </c>
      <c r="G150" t="s">
        <v>670</v>
      </c>
      <c r="H150" t="s">
        <v>16</v>
      </c>
      <c r="I150" t="s">
        <v>72</v>
      </c>
      <c r="J150" t="s">
        <v>73</v>
      </c>
      <c r="K150" t="s">
        <v>430</v>
      </c>
      <c r="L150" t="str">
        <f>HYPERLINK("https://business-monitor.ch/de/companies/42-indawisa-holding-ag?utm_source=oberaargau","PROFIL ANSEHEN")</f>
        <v>PROFIL ANSEHEN</v>
      </c>
    </row>
    <row r="151" spans="1:12" x14ac:dyDescent="0.2">
      <c r="A151" t="s">
        <v>1758</v>
      </c>
      <c r="B151" t="s">
        <v>1759</v>
      </c>
      <c r="C151" t="s">
        <v>13</v>
      </c>
      <c r="E151" t="s">
        <v>1760</v>
      </c>
      <c r="F151">
        <v>4937</v>
      </c>
      <c r="G151" t="s">
        <v>951</v>
      </c>
      <c r="H151" t="s">
        <v>16</v>
      </c>
      <c r="I151" t="s">
        <v>997</v>
      </c>
      <c r="J151" t="s">
        <v>998</v>
      </c>
      <c r="K151" t="s">
        <v>430</v>
      </c>
      <c r="L151" t="str">
        <f>HYPERLINK("https://business-monitor.ch/de/companies/725689-spaetig-motorrad-ag?utm_source=oberaargau","PROFIL ANSEHEN")</f>
        <v>PROFIL ANSEHEN</v>
      </c>
    </row>
    <row r="152" spans="1:12" x14ac:dyDescent="0.2">
      <c r="A152" t="s">
        <v>1455</v>
      </c>
      <c r="B152" t="s">
        <v>1456</v>
      </c>
      <c r="C152" t="s">
        <v>84</v>
      </c>
      <c r="E152" t="s">
        <v>1457</v>
      </c>
      <c r="F152">
        <v>3380</v>
      </c>
      <c r="G152" t="s">
        <v>29</v>
      </c>
      <c r="H152" t="s">
        <v>16</v>
      </c>
      <c r="I152" t="s">
        <v>1458</v>
      </c>
      <c r="J152" t="s">
        <v>1459</v>
      </c>
      <c r="K152" t="s">
        <v>430</v>
      </c>
      <c r="L152" t="str">
        <f>HYPERLINK("https://business-monitor.ch/de/companies/398355-suissessences-genossenschaft?utm_source=oberaargau","PROFIL ANSEHEN")</f>
        <v>PROFIL ANSEHEN</v>
      </c>
    </row>
    <row r="153" spans="1:12" x14ac:dyDescent="0.2">
      <c r="A153" t="s">
        <v>10852</v>
      </c>
      <c r="B153" t="s">
        <v>10853</v>
      </c>
      <c r="C153" t="s">
        <v>13</v>
      </c>
      <c r="D153" t="s">
        <v>11168</v>
      </c>
      <c r="E153" t="s">
        <v>1295</v>
      </c>
      <c r="F153">
        <v>4912</v>
      </c>
      <c r="G153" t="s">
        <v>64</v>
      </c>
      <c r="H153" t="s">
        <v>16</v>
      </c>
      <c r="I153" t="s">
        <v>186</v>
      </c>
      <c r="J153" t="s">
        <v>187</v>
      </c>
      <c r="K153" t="s">
        <v>430</v>
      </c>
      <c r="L153" t="str">
        <f>HYPERLINK("https://business-monitor.ch/de/companies/1107651-swiss-sourcing-group-ag?utm_source=oberaargau","PROFIL ANSEHEN")</f>
        <v>PROFIL ANSEHEN</v>
      </c>
    </row>
    <row r="154" spans="1:12" x14ac:dyDescent="0.2">
      <c r="A154" t="s">
        <v>706</v>
      </c>
      <c r="B154" t="s">
        <v>12222</v>
      </c>
      <c r="C154" t="s">
        <v>13</v>
      </c>
      <c r="E154" t="s">
        <v>12223</v>
      </c>
      <c r="F154">
        <v>4950</v>
      </c>
      <c r="G154" t="s">
        <v>15</v>
      </c>
      <c r="H154" t="s">
        <v>16</v>
      </c>
      <c r="I154" t="s">
        <v>671</v>
      </c>
      <c r="J154" t="s">
        <v>672</v>
      </c>
      <c r="K154" t="s">
        <v>430</v>
      </c>
      <c r="L154" t="str">
        <f>HYPERLINK("https://business-monitor.ch/de/companies/575818-espace-health-gesundheitszentren-ag?utm_source=oberaargau","PROFIL ANSEHEN")</f>
        <v>PROFIL ANSEHEN</v>
      </c>
    </row>
    <row r="155" spans="1:12" x14ac:dyDescent="0.2">
      <c r="A155" t="s">
        <v>769</v>
      </c>
      <c r="B155" t="s">
        <v>770</v>
      </c>
      <c r="C155" t="s">
        <v>13</v>
      </c>
      <c r="E155" t="s">
        <v>771</v>
      </c>
      <c r="F155">
        <v>4950</v>
      </c>
      <c r="G155" t="s">
        <v>15</v>
      </c>
      <c r="H155" t="s">
        <v>16</v>
      </c>
      <c r="I155" t="s">
        <v>772</v>
      </c>
      <c r="J155" t="s">
        <v>773</v>
      </c>
      <c r="K155" t="s">
        <v>430</v>
      </c>
      <c r="L155" t="str">
        <f>HYPERLINK("https://business-monitor.ch/de/companies/141064-minder-mode-ag?utm_source=oberaargau","PROFIL ANSEHEN")</f>
        <v>PROFIL ANSEHEN</v>
      </c>
    </row>
    <row r="156" spans="1:12" x14ac:dyDescent="0.2">
      <c r="A156" t="s">
        <v>480</v>
      </c>
      <c r="B156" t="s">
        <v>481</v>
      </c>
      <c r="C156" t="s">
        <v>13</v>
      </c>
      <c r="E156" t="s">
        <v>482</v>
      </c>
      <c r="F156">
        <v>4950</v>
      </c>
      <c r="G156" t="s">
        <v>15</v>
      </c>
      <c r="H156" t="s">
        <v>16</v>
      </c>
      <c r="I156" t="s">
        <v>304</v>
      </c>
      <c r="J156" t="s">
        <v>305</v>
      </c>
      <c r="K156" t="s">
        <v>430</v>
      </c>
      <c r="L156" t="str">
        <f>HYPERLINK("https://business-monitor.ch/de/companies/655890-woodwarm-ag?utm_source=oberaargau","PROFIL ANSEHEN")</f>
        <v>PROFIL ANSEHEN</v>
      </c>
    </row>
    <row r="157" spans="1:12" x14ac:dyDescent="0.2">
      <c r="A157" t="s">
        <v>785</v>
      </c>
      <c r="B157" t="s">
        <v>786</v>
      </c>
      <c r="C157" t="s">
        <v>13</v>
      </c>
      <c r="E157" t="s">
        <v>787</v>
      </c>
      <c r="F157">
        <v>4912</v>
      </c>
      <c r="G157" t="s">
        <v>64</v>
      </c>
      <c r="H157" t="s">
        <v>16</v>
      </c>
      <c r="I157" t="s">
        <v>788</v>
      </c>
      <c r="J157" t="s">
        <v>789</v>
      </c>
      <c r="K157" t="s">
        <v>430</v>
      </c>
      <c r="L157" t="str">
        <f>HYPERLINK("https://business-monitor.ch/de/companies/363119-up-metalltechnik-ag?utm_source=oberaargau","PROFIL ANSEHEN")</f>
        <v>PROFIL ANSEHEN</v>
      </c>
    </row>
    <row r="158" spans="1:12" x14ac:dyDescent="0.2">
      <c r="A158" t="s">
        <v>1517</v>
      </c>
      <c r="B158" t="s">
        <v>1518</v>
      </c>
      <c r="C158" t="s">
        <v>13</v>
      </c>
      <c r="E158" t="s">
        <v>1519</v>
      </c>
      <c r="F158">
        <v>4900</v>
      </c>
      <c r="G158" t="s">
        <v>41</v>
      </c>
      <c r="H158" t="s">
        <v>16</v>
      </c>
      <c r="I158" t="s">
        <v>326</v>
      </c>
      <c r="J158" t="s">
        <v>327</v>
      </c>
      <c r="K158" t="s">
        <v>430</v>
      </c>
      <c r="L158" t="str">
        <f>HYPERLINK("https://business-monitor.ch/de/companies/170864-mueller-ag?utm_source=oberaargau","PROFIL ANSEHEN")</f>
        <v>PROFIL ANSEHEN</v>
      </c>
    </row>
    <row r="159" spans="1:12" x14ac:dyDescent="0.2">
      <c r="A159" t="s">
        <v>1648</v>
      </c>
      <c r="B159" t="s">
        <v>1649</v>
      </c>
      <c r="C159" t="s">
        <v>13</v>
      </c>
      <c r="E159" t="s">
        <v>1650</v>
      </c>
      <c r="F159">
        <v>4900</v>
      </c>
      <c r="G159" t="s">
        <v>41</v>
      </c>
      <c r="H159" t="s">
        <v>16</v>
      </c>
      <c r="I159" t="s">
        <v>603</v>
      </c>
      <c r="J159" t="s">
        <v>604</v>
      </c>
      <c r="K159" t="s">
        <v>430</v>
      </c>
      <c r="L159" t="str">
        <f>HYPERLINK("https://business-monitor.ch/de/companies/565505-shot-shop-ag?utm_source=oberaargau","PROFIL ANSEHEN")</f>
        <v>PROFIL ANSEHEN</v>
      </c>
    </row>
    <row r="160" spans="1:12" x14ac:dyDescent="0.2">
      <c r="A160" t="s">
        <v>1582</v>
      </c>
      <c r="B160" t="s">
        <v>1583</v>
      </c>
      <c r="C160" t="s">
        <v>84</v>
      </c>
      <c r="D160" t="s">
        <v>1584</v>
      </c>
      <c r="E160" t="s">
        <v>1585</v>
      </c>
      <c r="F160">
        <v>3367</v>
      </c>
      <c r="G160" t="s">
        <v>1336</v>
      </c>
      <c r="H160" t="s">
        <v>16</v>
      </c>
      <c r="I160" t="s">
        <v>1409</v>
      </c>
      <c r="J160" t="s">
        <v>1410</v>
      </c>
      <c r="K160" t="s">
        <v>430</v>
      </c>
      <c r="L160" t="str">
        <f>HYPERLINK("https://business-monitor.ch/de/companies/155544-kaesereigenossenschaft-oschwand?utm_source=oberaargau","PROFIL ANSEHEN")</f>
        <v>PROFIL ANSEHEN</v>
      </c>
    </row>
    <row r="161" spans="1:12" x14ac:dyDescent="0.2">
      <c r="A161" t="s">
        <v>12471</v>
      </c>
      <c r="B161" t="s">
        <v>12472</v>
      </c>
      <c r="C161" t="s">
        <v>13</v>
      </c>
      <c r="E161" t="s">
        <v>12060</v>
      </c>
      <c r="F161">
        <v>4932</v>
      </c>
      <c r="G161" t="s">
        <v>325</v>
      </c>
      <c r="H161" t="s">
        <v>16</v>
      </c>
      <c r="I161" t="s">
        <v>260</v>
      </c>
      <c r="J161" t="s">
        <v>261</v>
      </c>
      <c r="K161" t="s">
        <v>430</v>
      </c>
      <c r="L161" t="str">
        <f>HYPERLINK("https://business-monitor.ch/de/companies/1214447-dietrich-architekten-ag?utm_source=oberaargau","PROFIL ANSEHEN")</f>
        <v>PROFIL ANSEHEN</v>
      </c>
    </row>
    <row r="162" spans="1:12" x14ac:dyDescent="0.2">
      <c r="A162" t="s">
        <v>1541</v>
      </c>
      <c r="B162" t="s">
        <v>1542</v>
      </c>
      <c r="C162" t="s">
        <v>13</v>
      </c>
      <c r="E162" t="s">
        <v>11169</v>
      </c>
      <c r="F162">
        <v>4938</v>
      </c>
      <c r="G162" t="s">
        <v>618</v>
      </c>
      <c r="H162" t="s">
        <v>16</v>
      </c>
      <c r="I162" t="s">
        <v>1543</v>
      </c>
      <c r="J162" t="s">
        <v>1544</v>
      </c>
      <c r="K162" t="s">
        <v>430</v>
      </c>
      <c r="L162" t="str">
        <f>HYPERLINK("https://business-monitor.ch/de/companies/173801-ruefenacht-ag?utm_source=oberaargau","PROFIL ANSEHEN")</f>
        <v>PROFIL ANSEHEN</v>
      </c>
    </row>
    <row r="163" spans="1:12" x14ac:dyDescent="0.2">
      <c r="A163" t="s">
        <v>1424</v>
      </c>
      <c r="B163" t="s">
        <v>1425</v>
      </c>
      <c r="C163" t="s">
        <v>13</v>
      </c>
      <c r="E163" t="s">
        <v>1426</v>
      </c>
      <c r="F163">
        <v>4912</v>
      </c>
      <c r="G163" t="s">
        <v>64</v>
      </c>
      <c r="H163" t="s">
        <v>16</v>
      </c>
      <c r="I163" t="s">
        <v>1140</v>
      </c>
      <c r="J163" t="s">
        <v>1141</v>
      </c>
      <c r="K163" t="s">
        <v>430</v>
      </c>
      <c r="L163" t="str">
        <f>HYPERLINK("https://business-monitor.ch/de/companies/176422-siebert-ag?utm_source=oberaargau","PROFIL ANSEHEN")</f>
        <v>PROFIL ANSEHEN</v>
      </c>
    </row>
    <row r="164" spans="1:12" x14ac:dyDescent="0.2">
      <c r="A164" t="s">
        <v>1073</v>
      </c>
      <c r="B164" t="s">
        <v>1074</v>
      </c>
      <c r="C164" t="s">
        <v>202</v>
      </c>
      <c r="E164" t="s">
        <v>1075</v>
      </c>
      <c r="F164">
        <v>4932</v>
      </c>
      <c r="G164" t="s">
        <v>325</v>
      </c>
      <c r="H164" t="s">
        <v>16</v>
      </c>
      <c r="I164" t="s">
        <v>433</v>
      </c>
      <c r="J164" t="s">
        <v>434</v>
      </c>
      <c r="K164" t="s">
        <v>430</v>
      </c>
      <c r="L164" t="str">
        <f>HYPERLINK("https://business-monitor.ch/de/companies/1020001-wlt-events-gmbh?utm_source=oberaargau","PROFIL ANSEHEN")</f>
        <v>PROFIL ANSEHEN</v>
      </c>
    </row>
    <row r="165" spans="1:12" x14ac:dyDescent="0.2">
      <c r="A165" t="s">
        <v>1493</v>
      </c>
      <c r="B165" t="s">
        <v>1494</v>
      </c>
      <c r="C165" t="s">
        <v>13</v>
      </c>
      <c r="E165" t="s">
        <v>10764</v>
      </c>
      <c r="F165">
        <v>4950</v>
      </c>
      <c r="G165" t="s">
        <v>15</v>
      </c>
      <c r="H165" t="s">
        <v>16</v>
      </c>
      <c r="I165" t="s">
        <v>642</v>
      </c>
      <c r="J165" t="s">
        <v>643</v>
      </c>
      <c r="K165" t="s">
        <v>430</v>
      </c>
      <c r="L165" t="str">
        <f>HYPERLINK("https://business-monitor.ch/de/companies/173789-larep-garage-ag?utm_source=oberaargau","PROFIL ANSEHEN")</f>
        <v>PROFIL ANSEHEN</v>
      </c>
    </row>
    <row r="166" spans="1:12" x14ac:dyDescent="0.2">
      <c r="A166" t="s">
        <v>12147</v>
      </c>
      <c r="B166" t="s">
        <v>12148</v>
      </c>
      <c r="C166" t="s">
        <v>13</v>
      </c>
      <c r="E166" t="s">
        <v>3628</v>
      </c>
      <c r="F166">
        <v>4900</v>
      </c>
      <c r="G166" t="s">
        <v>41</v>
      </c>
      <c r="H166" t="s">
        <v>16</v>
      </c>
      <c r="I166" t="s">
        <v>24</v>
      </c>
      <c r="J166" t="s">
        <v>25</v>
      </c>
      <c r="K166" t="s">
        <v>430</v>
      </c>
      <c r="L166" t="str">
        <f>HYPERLINK("https://business-monitor.ch/de/companies/1182205-sowacom-ag-mittelland?utm_source=oberaargau","PROFIL ANSEHEN")</f>
        <v>PROFIL ANSEHEN</v>
      </c>
    </row>
    <row r="167" spans="1:12" x14ac:dyDescent="0.2">
      <c r="A167" t="s">
        <v>456</v>
      </c>
      <c r="B167" t="s">
        <v>457</v>
      </c>
      <c r="C167" t="s">
        <v>13</v>
      </c>
      <c r="E167" t="s">
        <v>458</v>
      </c>
      <c r="F167">
        <v>4914</v>
      </c>
      <c r="G167" t="s">
        <v>105</v>
      </c>
      <c r="H167" t="s">
        <v>16</v>
      </c>
      <c r="I167" t="s">
        <v>459</v>
      </c>
      <c r="J167" t="s">
        <v>460</v>
      </c>
      <c r="K167" t="s">
        <v>430</v>
      </c>
      <c r="L167" t="str">
        <f>HYPERLINK("https://business-monitor.ch/de/companies/404999-beck-jaeggi-geruestbau-ag?utm_source=oberaargau","PROFIL ANSEHEN")</f>
        <v>PROFIL ANSEHEN</v>
      </c>
    </row>
    <row r="168" spans="1:12" x14ac:dyDescent="0.2">
      <c r="A168" t="s">
        <v>1326</v>
      </c>
      <c r="B168" t="s">
        <v>1327</v>
      </c>
      <c r="C168" t="s">
        <v>13</v>
      </c>
      <c r="E168" t="s">
        <v>1328</v>
      </c>
      <c r="F168">
        <v>4923</v>
      </c>
      <c r="G168" t="s">
        <v>732</v>
      </c>
      <c r="H168" t="s">
        <v>16</v>
      </c>
      <c r="I168" t="s">
        <v>134</v>
      </c>
      <c r="J168" t="s">
        <v>135</v>
      </c>
      <c r="K168" t="s">
        <v>430</v>
      </c>
      <c r="L168" t="str">
        <f>HYPERLINK("https://business-monitor.ch/de/companies/202042-elektro-zimmerli-ag?utm_source=oberaargau","PROFIL ANSEHEN")</f>
        <v>PROFIL ANSEHEN</v>
      </c>
    </row>
    <row r="169" spans="1:12" x14ac:dyDescent="0.2">
      <c r="A169" t="s">
        <v>735</v>
      </c>
      <c r="B169" t="s">
        <v>736</v>
      </c>
      <c r="C169" t="s">
        <v>737</v>
      </c>
      <c r="D169" t="s">
        <v>738</v>
      </c>
      <c r="E169" t="s">
        <v>739</v>
      </c>
      <c r="F169">
        <v>4923</v>
      </c>
      <c r="G169" t="s">
        <v>732</v>
      </c>
      <c r="H169" t="s">
        <v>16</v>
      </c>
      <c r="I169" t="s">
        <v>149</v>
      </c>
      <c r="J169" t="s">
        <v>150</v>
      </c>
      <c r="K169" t="s">
        <v>430</v>
      </c>
      <c r="L169" t="str">
        <f>HYPERLINK("https://business-monitor.ch/de/companies/390532-werkbetriebe-wynau-wbw?utm_source=oberaargau","PROFIL ANSEHEN")</f>
        <v>PROFIL ANSEHEN</v>
      </c>
    </row>
    <row r="170" spans="1:12" x14ac:dyDescent="0.2">
      <c r="A170" t="s">
        <v>590</v>
      </c>
      <c r="B170" t="s">
        <v>591</v>
      </c>
      <c r="C170" t="s">
        <v>13</v>
      </c>
      <c r="D170" t="s">
        <v>592</v>
      </c>
      <c r="E170" t="s">
        <v>402</v>
      </c>
      <c r="F170">
        <v>4901</v>
      </c>
      <c r="G170" t="s">
        <v>41</v>
      </c>
      <c r="H170" t="s">
        <v>16</v>
      </c>
      <c r="I170" t="s">
        <v>587</v>
      </c>
      <c r="J170" t="s">
        <v>588</v>
      </c>
      <c r="K170" t="s">
        <v>430</v>
      </c>
      <c r="L170" t="str">
        <f>HYPERLINK("https://business-monitor.ch/de/companies/9047-nencki-ecl-ag?utm_source=oberaargau","PROFIL ANSEHEN")</f>
        <v>PROFIL ANSEHEN</v>
      </c>
    </row>
    <row r="171" spans="1:12" x14ac:dyDescent="0.2">
      <c r="A171" t="s">
        <v>1709</v>
      </c>
      <c r="B171" t="s">
        <v>1710</v>
      </c>
      <c r="C171" t="s">
        <v>13</v>
      </c>
      <c r="E171" t="s">
        <v>1711</v>
      </c>
      <c r="F171">
        <v>4914</v>
      </c>
      <c r="G171" t="s">
        <v>105</v>
      </c>
      <c r="H171" t="s">
        <v>16</v>
      </c>
      <c r="I171" t="s">
        <v>53</v>
      </c>
      <c r="J171" t="s">
        <v>54</v>
      </c>
      <c r="K171" t="s">
        <v>430</v>
      </c>
      <c r="L171" t="str">
        <f>HYPERLINK("https://business-monitor.ch/de/companies/93230-j-schneeberger-maschinen-ag?utm_source=oberaargau","PROFIL ANSEHEN")</f>
        <v>PROFIL ANSEHEN</v>
      </c>
    </row>
    <row r="172" spans="1:12" x14ac:dyDescent="0.2">
      <c r="A172" t="s">
        <v>125</v>
      </c>
      <c r="B172" t="s">
        <v>126</v>
      </c>
      <c r="C172" t="s">
        <v>13</v>
      </c>
      <c r="E172" t="s">
        <v>118</v>
      </c>
      <c r="F172">
        <v>4900</v>
      </c>
      <c r="G172" t="s">
        <v>41</v>
      </c>
      <c r="H172" t="s">
        <v>16</v>
      </c>
      <c r="I172" t="s">
        <v>12246</v>
      </c>
      <c r="J172" t="s">
        <v>12247</v>
      </c>
      <c r="K172" t="s">
        <v>430</v>
      </c>
      <c r="L172" t="str">
        <f>HYPERLINK("https://business-monitor.ch/de/companies/305159-chronoflex-schweiz-ag?utm_source=oberaargau","PROFIL ANSEHEN")</f>
        <v>PROFIL ANSEHEN</v>
      </c>
    </row>
    <row r="173" spans="1:12" x14ac:dyDescent="0.2">
      <c r="A173" t="s">
        <v>6574</v>
      </c>
      <c r="B173" t="s">
        <v>6575</v>
      </c>
      <c r="C173" t="s">
        <v>202</v>
      </c>
      <c r="E173" t="s">
        <v>6576</v>
      </c>
      <c r="F173">
        <v>4912</v>
      </c>
      <c r="G173" t="s">
        <v>64</v>
      </c>
      <c r="H173" t="s">
        <v>16</v>
      </c>
      <c r="I173" t="s">
        <v>3217</v>
      </c>
      <c r="J173" t="s">
        <v>3218</v>
      </c>
      <c r="K173" t="s">
        <v>430</v>
      </c>
      <c r="L173" t="str">
        <f>HYPERLINK("https://business-monitor.ch/de/companies/212706-metzgerei-kaufmann-gmbh-aarwangen?utm_source=oberaargau","PROFIL ANSEHEN")</f>
        <v>PROFIL ANSEHEN</v>
      </c>
    </row>
    <row r="174" spans="1:12" x14ac:dyDescent="0.2">
      <c r="A174" t="s">
        <v>5961</v>
      </c>
      <c r="B174" t="s">
        <v>14093</v>
      </c>
      <c r="C174" t="s">
        <v>202</v>
      </c>
      <c r="E174" t="s">
        <v>5963</v>
      </c>
      <c r="F174">
        <v>4923</v>
      </c>
      <c r="G174" t="s">
        <v>732</v>
      </c>
      <c r="H174" t="s">
        <v>16</v>
      </c>
      <c r="I174" t="s">
        <v>1535</v>
      </c>
      <c r="J174" t="s">
        <v>1536</v>
      </c>
      <c r="K174" t="s">
        <v>430</v>
      </c>
      <c r="L174" t="str">
        <f>HYPERLINK("https://business-monitor.ch/de/companies/465124-reber-land-haus-gmbh?utm_source=oberaargau","PROFIL ANSEHEN")</f>
        <v>PROFIL ANSEHEN</v>
      </c>
    </row>
    <row r="175" spans="1:12" x14ac:dyDescent="0.2">
      <c r="A175" t="s">
        <v>1099</v>
      </c>
      <c r="B175" t="s">
        <v>1100</v>
      </c>
      <c r="C175" t="s">
        <v>13</v>
      </c>
      <c r="E175" t="s">
        <v>954</v>
      </c>
      <c r="F175">
        <v>4950</v>
      </c>
      <c r="G175" t="s">
        <v>15</v>
      </c>
      <c r="H175" t="s">
        <v>16</v>
      </c>
      <c r="I175" t="s">
        <v>486</v>
      </c>
      <c r="J175" t="s">
        <v>487</v>
      </c>
      <c r="K175" t="s">
        <v>430</v>
      </c>
      <c r="L175" t="str">
        <f>HYPERLINK("https://business-monitor.ch/de/companies/224557-anytech-metallbau-ag?utm_source=oberaargau","PROFIL ANSEHEN")</f>
        <v>PROFIL ANSEHEN</v>
      </c>
    </row>
    <row r="176" spans="1:12" x14ac:dyDescent="0.2">
      <c r="A176" t="s">
        <v>9304</v>
      </c>
      <c r="B176" t="s">
        <v>9305</v>
      </c>
      <c r="C176" t="s">
        <v>13</v>
      </c>
      <c r="E176" t="s">
        <v>5295</v>
      </c>
      <c r="F176">
        <v>4900</v>
      </c>
      <c r="G176" t="s">
        <v>41</v>
      </c>
      <c r="H176" t="s">
        <v>16</v>
      </c>
      <c r="I176" t="s">
        <v>1553</v>
      </c>
      <c r="J176" t="s">
        <v>1554</v>
      </c>
      <c r="K176" t="s">
        <v>430</v>
      </c>
      <c r="L176" t="str">
        <f>HYPERLINK("https://business-monitor.ch/de/companies/97250-greiner-vibrograf-ag?utm_source=oberaargau","PROFIL ANSEHEN")</f>
        <v>PROFIL ANSEHEN</v>
      </c>
    </row>
    <row r="177" spans="1:12" x14ac:dyDescent="0.2">
      <c r="A177" t="s">
        <v>547</v>
      </c>
      <c r="B177" t="s">
        <v>548</v>
      </c>
      <c r="C177" t="s">
        <v>13</v>
      </c>
      <c r="E177" t="s">
        <v>549</v>
      </c>
      <c r="F177">
        <v>4900</v>
      </c>
      <c r="G177" t="s">
        <v>41</v>
      </c>
      <c r="H177" t="s">
        <v>16</v>
      </c>
      <c r="I177" t="s">
        <v>260</v>
      </c>
      <c r="J177" t="s">
        <v>261</v>
      </c>
      <c r="K177" t="s">
        <v>430</v>
      </c>
      <c r="L177" t="str">
        <f>HYPERLINK("https://business-monitor.ch/de/companies/66532-kummerpartner-architekten-und-planer-ag?utm_source=oberaargau","PROFIL ANSEHEN")</f>
        <v>PROFIL ANSEHEN</v>
      </c>
    </row>
    <row r="178" spans="1:12" x14ac:dyDescent="0.2">
      <c r="A178" t="s">
        <v>979</v>
      </c>
      <c r="B178" t="s">
        <v>980</v>
      </c>
      <c r="C178" t="s">
        <v>13</v>
      </c>
      <c r="E178" t="s">
        <v>981</v>
      </c>
      <c r="F178">
        <v>4704</v>
      </c>
      <c r="G178" t="s">
        <v>221</v>
      </c>
      <c r="H178" t="s">
        <v>16</v>
      </c>
      <c r="I178" t="s">
        <v>464</v>
      </c>
      <c r="J178" t="s">
        <v>465</v>
      </c>
      <c r="K178" t="s">
        <v>430</v>
      </c>
      <c r="L178" t="str">
        <f>HYPERLINK("https://business-monitor.ch/de/companies/135266-mueller-transporte-niederbipp-ag?utm_source=oberaargau","PROFIL ANSEHEN")</f>
        <v>PROFIL ANSEHEN</v>
      </c>
    </row>
    <row r="179" spans="1:12" x14ac:dyDescent="0.2">
      <c r="A179" t="s">
        <v>13213</v>
      </c>
      <c r="B179" t="s">
        <v>13214</v>
      </c>
      <c r="C179" t="s">
        <v>202</v>
      </c>
      <c r="E179" t="s">
        <v>13215</v>
      </c>
      <c r="F179">
        <v>4952</v>
      </c>
      <c r="G179" t="s">
        <v>474</v>
      </c>
      <c r="H179" t="s">
        <v>16</v>
      </c>
      <c r="I179" t="s">
        <v>331</v>
      </c>
      <c r="J179" t="s">
        <v>332</v>
      </c>
      <c r="K179" t="s">
        <v>430</v>
      </c>
      <c r="L179" t="str">
        <f>HYPERLINK("https://business-monitor.ch/de/companies/1240757-gerber-maschinenbau-gmbh?utm_source=oberaargau","PROFIL ANSEHEN")</f>
        <v>PROFIL ANSEHEN</v>
      </c>
    </row>
    <row r="180" spans="1:12" x14ac:dyDescent="0.2">
      <c r="A180" t="s">
        <v>8617</v>
      </c>
      <c r="B180" t="s">
        <v>8618</v>
      </c>
      <c r="C180" t="s">
        <v>13</v>
      </c>
      <c r="E180" t="s">
        <v>2538</v>
      </c>
      <c r="F180">
        <v>4900</v>
      </c>
      <c r="G180" t="s">
        <v>41</v>
      </c>
      <c r="H180" t="s">
        <v>16</v>
      </c>
      <c r="I180" t="s">
        <v>642</v>
      </c>
      <c r="J180" t="s">
        <v>643</v>
      </c>
      <c r="K180" t="s">
        <v>430</v>
      </c>
      <c r="L180" t="str">
        <f>HYPERLINK("https://business-monitor.ch/de/companies/445748-lion-automobile-ag?utm_source=oberaargau","PROFIL ANSEHEN")</f>
        <v>PROFIL ANSEHEN</v>
      </c>
    </row>
    <row r="181" spans="1:12" x14ac:dyDescent="0.2">
      <c r="A181" t="s">
        <v>9892</v>
      </c>
      <c r="B181" t="s">
        <v>9893</v>
      </c>
      <c r="C181" t="s">
        <v>13</v>
      </c>
      <c r="E181" t="s">
        <v>4630</v>
      </c>
      <c r="F181">
        <v>3360</v>
      </c>
      <c r="G181" t="s">
        <v>35</v>
      </c>
      <c r="H181" t="s">
        <v>16</v>
      </c>
      <c r="I181" t="s">
        <v>2825</v>
      </c>
      <c r="J181" t="s">
        <v>2826</v>
      </c>
      <c r="K181" t="s">
        <v>430</v>
      </c>
      <c r="L181" t="str">
        <f>HYPERLINK("https://business-monitor.ch/de/companies/968364-schelbli-ag?utm_source=oberaargau","PROFIL ANSEHEN")</f>
        <v>PROFIL ANSEHEN</v>
      </c>
    </row>
    <row r="182" spans="1:12" x14ac:dyDescent="0.2">
      <c r="A182" t="s">
        <v>12970</v>
      </c>
      <c r="B182" t="s">
        <v>12971</v>
      </c>
      <c r="C182" t="s">
        <v>13</v>
      </c>
      <c r="E182" t="s">
        <v>880</v>
      </c>
      <c r="F182">
        <v>3368</v>
      </c>
      <c r="G182" t="s">
        <v>308</v>
      </c>
      <c r="H182" t="s">
        <v>16</v>
      </c>
      <c r="I182" t="s">
        <v>764</v>
      </c>
      <c r="J182" t="s">
        <v>765</v>
      </c>
      <c r="K182" t="s">
        <v>430</v>
      </c>
      <c r="L182" t="str">
        <f>HYPERLINK("https://business-monitor.ch/de/companies/1236979-swissfactory-semiconductor-ag?utm_source=oberaargau","PROFIL ANSEHEN")</f>
        <v>PROFIL ANSEHEN</v>
      </c>
    </row>
    <row r="183" spans="1:12" x14ac:dyDescent="0.2">
      <c r="A183" t="s">
        <v>1195</v>
      </c>
      <c r="B183" t="s">
        <v>1196</v>
      </c>
      <c r="C183" t="s">
        <v>13</v>
      </c>
      <c r="E183" t="s">
        <v>1197</v>
      </c>
      <c r="F183">
        <v>3360</v>
      </c>
      <c r="G183" t="s">
        <v>35</v>
      </c>
      <c r="H183" t="s">
        <v>16</v>
      </c>
      <c r="I183" t="s">
        <v>331</v>
      </c>
      <c r="J183" t="s">
        <v>332</v>
      </c>
      <c r="K183" t="s">
        <v>430</v>
      </c>
      <c r="L183" t="str">
        <f>HYPERLINK("https://business-monitor.ch/de/companies/196877-drehtech-ag?utm_source=oberaargau","PROFIL ANSEHEN")</f>
        <v>PROFIL ANSEHEN</v>
      </c>
    </row>
    <row r="184" spans="1:12" x14ac:dyDescent="0.2">
      <c r="A184" t="s">
        <v>1157</v>
      </c>
      <c r="B184" t="s">
        <v>1158</v>
      </c>
      <c r="C184" t="s">
        <v>13</v>
      </c>
      <c r="E184" t="s">
        <v>1159</v>
      </c>
      <c r="F184">
        <v>3380</v>
      </c>
      <c r="G184" t="s">
        <v>29</v>
      </c>
      <c r="H184" t="s">
        <v>16</v>
      </c>
      <c r="I184" t="s">
        <v>935</v>
      </c>
      <c r="J184" t="s">
        <v>936</v>
      </c>
      <c r="K184" t="s">
        <v>430</v>
      </c>
      <c r="L184" t="str">
        <f>HYPERLINK("https://business-monitor.ch/de/companies/118135-roth-immo-ag?utm_source=oberaargau","PROFIL ANSEHEN")</f>
        <v>PROFIL ANSEHEN</v>
      </c>
    </row>
    <row r="185" spans="1:12" x14ac:dyDescent="0.2">
      <c r="A185" t="s">
        <v>246</v>
      </c>
      <c r="B185" t="s">
        <v>247</v>
      </c>
      <c r="C185" t="s">
        <v>13</v>
      </c>
      <c r="E185" t="s">
        <v>1893</v>
      </c>
      <c r="F185">
        <v>4900</v>
      </c>
      <c r="G185" t="s">
        <v>41</v>
      </c>
      <c r="H185" t="s">
        <v>16</v>
      </c>
      <c r="I185" t="s">
        <v>249</v>
      </c>
      <c r="J185" t="s">
        <v>250</v>
      </c>
      <c r="K185" t="s">
        <v>430</v>
      </c>
      <c r="L185" t="str">
        <f>HYPERLINK("https://business-monitor.ch/de/companies/243141-sc-langenthal-ag?utm_source=oberaargau","PROFIL ANSEHEN")</f>
        <v>PROFIL ANSEHEN</v>
      </c>
    </row>
    <row r="186" spans="1:12" x14ac:dyDescent="0.2">
      <c r="A186" t="s">
        <v>766</v>
      </c>
      <c r="B186" t="s">
        <v>767</v>
      </c>
      <c r="C186" t="s">
        <v>84</v>
      </c>
      <c r="E186" t="s">
        <v>14365</v>
      </c>
      <c r="F186">
        <v>4950</v>
      </c>
      <c r="G186" t="s">
        <v>15</v>
      </c>
      <c r="H186" t="s">
        <v>16</v>
      </c>
      <c r="I186" t="s">
        <v>237</v>
      </c>
      <c r="J186" t="s">
        <v>238</v>
      </c>
      <c r="K186" t="s">
        <v>430</v>
      </c>
      <c r="L186" t="str">
        <f>HYPERLINK("https://business-monitor.ch/de/companies/171587-biofarm-genossenschaft?utm_source=oberaargau","PROFIL ANSEHEN")</f>
        <v>PROFIL ANSEHEN</v>
      </c>
    </row>
    <row r="187" spans="1:12" x14ac:dyDescent="0.2">
      <c r="A187" t="s">
        <v>1217</v>
      </c>
      <c r="B187" t="s">
        <v>1218</v>
      </c>
      <c r="C187" t="s">
        <v>13</v>
      </c>
      <c r="E187" t="s">
        <v>1219</v>
      </c>
      <c r="F187">
        <v>3377</v>
      </c>
      <c r="G187" t="s">
        <v>1220</v>
      </c>
      <c r="H187" t="s">
        <v>16</v>
      </c>
      <c r="I187" t="s">
        <v>464</v>
      </c>
      <c r="J187" t="s">
        <v>465</v>
      </c>
      <c r="K187" t="s">
        <v>430</v>
      </c>
      <c r="L187" t="str">
        <f>HYPERLINK("https://business-monitor.ch/de/companies/173740-pfister-transporte-ag?utm_source=oberaargau","PROFIL ANSEHEN")</f>
        <v>PROFIL ANSEHEN</v>
      </c>
    </row>
    <row r="188" spans="1:12" x14ac:dyDescent="0.2">
      <c r="A188" t="s">
        <v>1125</v>
      </c>
      <c r="B188" t="s">
        <v>1126</v>
      </c>
      <c r="C188" t="s">
        <v>13</v>
      </c>
      <c r="E188" t="s">
        <v>1127</v>
      </c>
      <c r="F188">
        <v>4900</v>
      </c>
      <c r="G188" t="s">
        <v>41</v>
      </c>
      <c r="H188" t="s">
        <v>16</v>
      </c>
      <c r="I188" t="s">
        <v>48</v>
      </c>
      <c r="J188" t="s">
        <v>49</v>
      </c>
      <c r="K188" t="s">
        <v>430</v>
      </c>
      <c r="L188" t="str">
        <f>HYPERLINK("https://business-monitor.ch/de/companies/112949-aro-technologies-ag?utm_source=oberaargau","PROFIL ANSEHEN")</f>
        <v>PROFIL ANSEHEN</v>
      </c>
    </row>
    <row r="189" spans="1:12" x14ac:dyDescent="0.2">
      <c r="A189" t="s">
        <v>598</v>
      </c>
      <c r="B189" t="s">
        <v>599</v>
      </c>
      <c r="C189" t="s">
        <v>202</v>
      </c>
      <c r="E189" t="s">
        <v>11619</v>
      </c>
      <c r="F189">
        <v>4914</v>
      </c>
      <c r="G189" t="s">
        <v>105</v>
      </c>
      <c r="H189" t="s">
        <v>16</v>
      </c>
      <c r="I189" t="s">
        <v>551</v>
      </c>
      <c r="J189" t="s">
        <v>552</v>
      </c>
      <c r="K189" t="s">
        <v>430</v>
      </c>
      <c r="L189" t="str">
        <f>HYPERLINK("https://business-monitor.ch/de/companies/724566-gustovent-gmbh?utm_source=oberaargau","PROFIL ANSEHEN")</f>
        <v>PROFIL ANSEHEN</v>
      </c>
    </row>
    <row r="190" spans="1:12" x14ac:dyDescent="0.2">
      <c r="A190" t="s">
        <v>585</v>
      </c>
      <c r="B190" t="s">
        <v>586</v>
      </c>
      <c r="C190" t="s">
        <v>13</v>
      </c>
      <c r="E190" t="s">
        <v>473</v>
      </c>
      <c r="F190">
        <v>4900</v>
      </c>
      <c r="G190" t="s">
        <v>41</v>
      </c>
      <c r="H190" t="s">
        <v>16</v>
      </c>
      <c r="I190" t="s">
        <v>587</v>
      </c>
      <c r="J190" t="s">
        <v>588</v>
      </c>
      <c r="K190" t="s">
        <v>430</v>
      </c>
      <c r="L190" t="str">
        <f>HYPERLINK("https://business-monitor.ch/de/companies/97161-waelchli-partner-ag?utm_source=oberaargau","PROFIL ANSEHEN")</f>
        <v>PROFIL ANSEHEN</v>
      </c>
    </row>
    <row r="191" spans="1:12" x14ac:dyDescent="0.2">
      <c r="A191" t="s">
        <v>750</v>
      </c>
      <c r="B191" t="s">
        <v>751</v>
      </c>
      <c r="C191" t="s">
        <v>13</v>
      </c>
      <c r="E191" t="s">
        <v>752</v>
      </c>
      <c r="F191">
        <v>4922</v>
      </c>
      <c r="G191" t="s">
        <v>99</v>
      </c>
      <c r="H191" t="s">
        <v>16</v>
      </c>
      <c r="I191" t="s">
        <v>260</v>
      </c>
      <c r="J191" t="s">
        <v>261</v>
      </c>
      <c r="K191" t="s">
        <v>430</v>
      </c>
      <c r="L191" t="str">
        <f>HYPERLINK("https://business-monitor.ch/de/companies/1073138-idealbau-architektur-ag?utm_source=oberaargau","PROFIL ANSEHEN")</f>
        <v>PROFIL ANSEHEN</v>
      </c>
    </row>
    <row r="192" spans="1:12" x14ac:dyDescent="0.2">
      <c r="A192" t="s">
        <v>1142</v>
      </c>
      <c r="B192" t="s">
        <v>1143</v>
      </c>
      <c r="C192" t="s">
        <v>13</v>
      </c>
      <c r="E192" t="s">
        <v>454</v>
      </c>
      <c r="F192">
        <v>3367</v>
      </c>
      <c r="G192" t="s">
        <v>455</v>
      </c>
      <c r="H192" t="s">
        <v>16</v>
      </c>
      <c r="I192" t="s">
        <v>331</v>
      </c>
      <c r="J192" t="s">
        <v>332</v>
      </c>
      <c r="K192" t="s">
        <v>430</v>
      </c>
      <c r="L192" t="str">
        <f>HYPERLINK("https://business-monitor.ch/de/companies/33844-moser-ingold-ag?utm_source=oberaargau","PROFIL ANSEHEN")</f>
        <v>PROFIL ANSEHEN</v>
      </c>
    </row>
    <row r="193" spans="1:12" x14ac:dyDescent="0.2">
      <c r="A193" t="s">
        <v>864</v>
      </c>
      <c r="B193" t="s">
        <v>865</v>
      </c>
      <c r="C193" t="s">
        <v>13</v>
      </c>
      <c r="E193" t="s">
        <v>166</v>
      </c>
      <c r="F193">
        <v>4900</v>
      </c>
      <c r="G193" t="s">
        <v>41</v>
      </c>
      <c r="H193" t="s">
        <v>16</v>
      </c>
      <c r="I193" t="s">
        <v>866</v>
      </c>
      <c r="J193" t="s">
        <v>867</v>
      </c>
      <c r="K193" t="s">
        <v>430</v>
      </c>
      <c r="L193" t="str">
        <f>HYPERLINK("https://business-monitor.ch/de/companies/228654-witschi-detox-ag?utm_source=oberaargau","PROFIL ANSEHEN")</f>
        <v>PROFIL ANSEHEN</v>
      </c>
    </row>
    <row r="194" spans="1:12" x14ac:dyDescent="0.2">
      <c r="A194" t="s">
        <v>933</v>
      </c>
      <c r="B194" t="s">
        <v>934</v>
      </c>
      <c r="C194" t="s">
        <v>13</v>
      </c>
      <c r="E194" t="s">
        <v>179</v>
      </c>
      <c r="F194">
        <v>4900</v>
      </c>
      <c r="G194" t="s">
        <v>41</v>
      </c>
      <c r="H194" t="s">
        <v>16</v>
      </c>
      <c r="I194" t="s">
        <v>935</v>
      </c>
      <c r="J194" t="s">
        <v>936</v>
      </c>
      <c r="K194" t="s">
        <v>430</v>
      </c>
      <c r="L194" t="str">
        <f>HYPERLINK("https://business-monitor.ch/de/companies/126262-ammobilien-ag?utm_source=oberaargau","PROFIL ANSEHEN")</f>
        <v>PROFIL ANSEHEN</v>
      </c>
    </row>
    <row r="195" spans="1:12" x14ac:dyDescent="0.2">
      <c r="A195" t="s">
        <v>11440</v>
      </c>
      <c r="B195" t="s">
        <v>11441</v>
      </c>
      <c r="C195" t="s">
        <v>202</v>
      </c>
      <c r="E195" t="s">
        <v>1283</v>
      </c>
      <c r="F195">
        <v>4950</v>
      </c>
      <c r="G195" t="s">
        <v>15</v>
      </c>
      <c r="H195" t="s">
        <v>16</v>
      </c>
      <c r="I195" t="s">
        <v>824</v>
      </c>
      <c r="J195" t="s">
        <v>825</v>
      </c>
      <c r="K195" t="s">
        <v>430</v>
      </c>
      <c r="L195" t="str">
        <f>HYPERLINK("https://business-monitor.ch/de/companies/1141289-pura-mindair-gmbh?utm_source=oberaargau","PROFIL ANSEHEN")</f>
        <v>PROFIL ANSEHEN</v>
      </c>
    </row>
    <row r="196" spans="1:12" x14ac:dyDescent="0.2">
      <c r="A196" t="s">
        <v>529</v>
      </c>
      <c r="B196" t="s">
        <v>530</v>
      </c>
      <c r="C196" t="s">
        <v>84</v>
      </c>
      <c r="E196" t="s">
        <v>531</v>
      </c>
      <c r="F196">
        <v>4900</v>
      </c>
      <c r="G196" t="s">
        <v>41</v>
      </c>
      <c r="H196" t="s">
        <v>16</v>
      </c>
      <c r="I196" t="s">
        <v>5788</v>
      </c>
      <c r="J196" t="s">
        <v>5789</v>
      </c>
      <c r="K196" t="s">
        <v>430</v>
      </c>
      <c r="L196" t="str">
        <f>HYPERLINK("https://business-monitor.ch/de/companies/312105-genossenschaft-solidaritaet?utm_source=oberaargau","PROFIL ANSEHEN")</f>
        <v>PROFIL ANSEHEN</v>
      </c>
    </row>
    <row r="197" spans="1:12" x14ac:dyDescent="0.2">
      <c r="A197" t="s">
        <v>1214</v>
      </c>
      <c r="B197" t="s">
        <v>1215</v>
      </c>
      <c r="C197" t="s">
        <v>84</v>
      </c>
      <c r="E197" t="s">
        <v>1216</v>
      </c>
      <c r="F197">
        <v>3475</v>
      </c>
      <c r="G197" t="s">
        <v>965</v>
      </c>
      <c r="H197" t="s">
        <v>16</v>
      </c>
      <c r="I197" t="s">
        <v>340</v>
      </c>
      <c r="J197" t="s">
        <v>341</v>
      </c>
      <c r="K197" t="s">
        <v>430</v>
      </c>
      <c r="L197" t="str">
        <f>HYPERLINK("https://business-monitor.ch/de/companies/173510-landi-riedtwil-genossenschaft?utm_source=oberaargau","PROFIL ANSEHEN")</f>
        <v>PROFIL ANSEHEN</v>
      </c>
    </row>
    <row r="198" spans="1:12" x14ac:dyDescent="0.2">
      <c r="A198" t="s">
        <v>637</v>
      </c>
      <c r="B198" t="s">
        <v>638</v>
      </c>
      <c r="C198" t="s">
        <v>84</v>
      </c>
      <c r="E198" t="s">
        <v>639</v>
      </c>
      <c r="F198">
        <v>3367</v>
      </c>
      <c r="G198" t="s">
        <v>455</v>
      </c>
      <c r="H198" t="s">
        <v>16</v>
      </c>
      <c r="I198" t="s">
        <v>1409</v>
      </c>
      <c r="J198" t="s">
        <v>1410</v>
      </c>
      <c r="K198" t="s">
        <v>430</v>
      </c>
      <c r="L198" t="str">
        <f>HYPERLINK("https://business-monitor.ch/de/companies/173775-kaesereigenossenschaft-thoerigen?utm_source=oberaargau","PROFIL ANSEHEN")</f>
        <v>PROFIL ANSEHEN</v>
      </c>
    </row>
    <row r="199" spans="1:12" x14ac:dyDescent="0.2">
      <c r="A199" t="s">
        <v>8002</v>
      </c>
      <c r="B199" t="s">
        <v>8003</v>
      </c>
      <c r="C199" t="s">
        <v>13</v>
      </c>
      <c r="E199" t="s">
        <v>8004</v>
      </c>
      <c r="F199">
        <v>4922</v>
      </c>
      <c r="G199" t="s">
        <v>99</v>
      </c>
      <c r="H199" t="s">
        <v>16</v>
      </c>
      <c r="I199" t="s">
        <v>153</v>
      </c>
      <c r="J199" t="s">
        <v>154</v>
      </c>
      <c r="K199" t="s">
        <v>430</v>
      </c>
      <c r="L199" t="str">
        <f>HYPERLINK("https://business-monitor.ch/de/companies/213102-graber-kopp-ag-fuer-energiesysteme?utm_source=oberaargau","PROFIL ANSEHEN")</f>
        <v>PROFIL ANSEHEN</v>
      </c>
    </row>
    <row r="200" spans="1:12" x14ac:dyDescent="0.2">
      <c r="A200" t="s">
        <v>994</v>
      </c>
      <c r="B200" t="s">
        <v>995</v>
      </c>
      <c r="C200" t="s">
        <v>13</v>
      </c>
      <c r="E200" t="s">
        <v>996</v>
      </c>
      <c r="F200">
        <v>4934</v>
      </c>
      <c r="G200" t="s">
        <v>670</v>
      </c>
      <c r="H200" t="s">
        <v>16</v>
      </c>
      <c r="I200" t="s">
        <v>997</v>
      </c>
      <c r="J200" t="s">
        <v>998</v>
      </c>
      <c r="K200" t="s">
        <v>430</v>
      </c>
      <c r="L200" t="str">
        <f>HYPERLINK("https://business-monitor.ch/de/companies/528123-moto-strahm-ag?utm_source=oberaargau","PROFIL ANSEHEN")</f>
        <v>PROFIL ANSEHEN</v>
      </c>
    </row>
    <row r="201" spans="1:12" x14ac:dyDescent="0.2">
      <c r="A201" t="s">
        <v>902</v>
      </c>
      <c r="B201" t="s">
        <v>903</v>
      </c>
      <c r="C201" t="s">
        <v>13</v>
      </c>
      <c r="E201" t="s">
        <v>12964</v>
      </c>
      <c r="F201">
        <v>4900</v>
      </c>
      <c r="G201" t="s">
        <v>41</v>
      </c>
      <c r="H201" t="s">
        <v>16</v>
      </c>
      <c r="I201" t="s">
        <v>331</v>
      </c>
      <c r="J201" t="s">
        <v>332</v>
      </c>
      <c r="K201" t="s">
        <v>430</v>
      </c>
      <c r="L201" t="str">
        <f>HYPERLINK("https://business-monitor.ch/de/companies/223437-createch-ag?utm_source=oberaargau","PROFIL ANSEHEN")</f>
        <v>PROFIL ANSEHEN</v>
      </c>
    </row>
    <row r="202" spans="1:12" x14ac:dyDescent="0.2">
      <c r="A202" t="s">
        <v>1160</v>
      </c>
      <c r="B202" t="s">
        <v>13514</v>
      </c>
      <c r="C202" t="s">
        <v>202</v>
      </c>
      <c r="E202" t="s">
        <v>13515</v>
      </c>
      <c r="F202">
        <v>4900</v>
      </c>
      <c r="G202" t="s">
        <v>41</v>
      </c>
      <c r="H202" t="s">
        <v>16</v>
      </c>
      <c r="I202" t="s">
        <v>800</v>
      </c>
      <c r="J202" t="s">
        <v>801</v>
      </c>
      <c r="K202" t="s">
        <v>430</v>
      </c>
      <c r="L202" t="str">
        <f>HYPERLINK("https://business-monitor.ch/de/companies/212835-zeller-immo-gmbh?utm_source=oberaargau","PROFIL ANSEHEN")</f>
        <v>PROFIL ANSEHEN</v>
      </c>
    </row>
    <row r="203" spans="1:12" x14ac:dyDescent="0.2">
      <c r="A203" t="s">
        <v>14195</v>
      </c>
      <c r="B203" t="s">
        <v>5962</v>
      </c>
      <c r="C203" t="s">
        <v>202</v>
      </c>
      <c r="E203" t="s">
        <v>5963</v>
      </c>
      <c r="F203">
        <v>4923</v>
      </c>
      <c r="G203" t="s">
        <v>732</v>
      </c>
      <c r="H203" t="s">
        <v>16</v>
      </c>
      <c r="I203" t="s">
        <v>1535</v>
      </c>
      <c r="J203" t="s">
        <v>1536</v>
      </c>
      <c r="K203" t="s">
        <v>430</v>
      </c>
      <c r="L203" t="str">
        <f>HYPERLINK("https://business-monitor.ch/de/companies/1289877-reber-gartenmanager-gmbh?utm_source=oberaargau","PROFIL ANSEHEN")</f>
        <v>PROFIL ANSEHEN</v>
      </c>
    </row>
    <row r="204" spans="1:12" x14ac:dyDescent="0.2">
      <c r="A204" t="s">
        <v>4739</v>
      </c>
      <c r="B204" t="s">
        <v>4740</v>
      </c>
      <c r="C204" t="s">
        <v>13</v>
      </c>
      <c r="E204" t="s">
        <v>195</v>
      </c>
      <c r="F204">
        <v>4538</v>
      </c>
      <c r="G204" t="s">
        <v>71</v>
      </c>
      <c r="H204" t="s">
        <v>16</v>
      </c>
      <c r="I204" t="s">
        <v>1936</v>
      </c>
      <c r="J204" t="s">
        <v>1937</v>
      </c>
      <c r="K204" t="s">
        <v>430</v>
      </c>
      <c r="L204" t="str">
        <f>HYPERLINK("https://business-monitor.ch/de/companies/582227-akredia-ag?utm_source=oberaargau","PROFIL ANSEHEN")</f>
        <v>PROFIL ANSEHEN</v>
      </c>
    </row>
    <row r="205" spans="1:12" x14ac:dyDescent="0.2">
      <c r="A205" t="s">
        <v>5982</v>
      </c>
      <c r="B205" t="s">
        <v>5983</v>
      </c>
      <c r="C205" t="s">
        <v>13</v>
      </c>
      <c r="E205" t="s">
        <v>4756</v>
      </c>
      <c r="F205">
        <v>4900</v>
      </c>
      <c r="G205" t="s">
        <v>41</v>
      </c>
      <c r="H205" t="s">
        <v>16</v>
      </c>
      <c r="I205" t="s">
        <v>232</v>
      </c>
      <c r="J205" t="s">
        <v>233</v>
      </c>
      <c r="K205" t="s">
        <v>430</v>
      </c>
      <c r="L205" t="str">
        <f>HYPERLINK("https://business-monitor.ch/de/companies/457423-msm-treuhand-ag?utm_source=oberaargau","PROFIL ANSEHEN")</f>
        <v>PROFIL ANSEHEN</v>
      </c>
    </row>
    <row r="206" spans="1:12" x14ac:dyDescent="0.2">
      <c r="A206" t="s">
        <v>1299</v>
      </c>
      <c r="B206" t="s">
        <v>1300</v>
      </c>
      <c r="C206" t="s">
        <v>13</v>
      </c>
      <c r="E206" t="s">
        <v>1301</v>
      </c>
      <c r="F206">
        <v>3380</v>
      </c>
      <c r="G206" t="s">
        <v>29</v>
      </c>
      <c r="H206" t="s">
        <v>16</v>
      </c>
      <c r="I206" t="s">
        <v>668</v>
      </c>
      <c r="J206" t="s">
        <v>669</v>
      </c>
      <c r="K206" t="s">
        <v>430</v>
      </c>
      <c r="L206" t="str">
        <f>HYPERLINK("https://business-monitor.ch/de/companies/221112-geiger-cytec-systems-ag?utm_source=oberaargau","PROFIL ANSEHEN")</f>
        <v>PROFIL ANSEHEN</v>
      </c>
    </row>
    <row r="207" spans="1:12" x14ac:dyDescent="0.2">
      <c r="A207" t="s">
        <v>1545</v>
      </c>
      <c r="B207" t="s">
        <v>1546</v>
      </c>
      <c r="C207" t="s">
        <v>13</v>
      </c>
      <c r="E207" t="s">
        <v>1547</v>
      </c>
      <c r="F207">
        <v>4900</v>
      </c>
      <c r="G207" t="s">
        <v>41</v>
      </c>
      <c r="H207" t="s">
        <v>16</v>
      </c>
      <c r="I207" t="s">
        <v>1548</v>
      </c>
      <c r="J207" t="s">
        <v>1549</v>
      </c>
      <c r="K207" t="s">
        <v>430</v>
      </c>
      <c r="L207" t="str">
        <f>HYPERLINK("https://business-monitor.ch/de/companies/278675-felber-ag?utm_source=oberaargau","PROFIL ANSEHEN")</f>
        <v>PROFIL ANSEHEN</v>
      </c>
    </row>
    <row r="208" spans="1:12" x14ac:dyDescent="0.2">
      <c r="A208" t="s">
        <v>600</v>
      </c>
      <c r="B208" t="s">
        <v>601</v>
      </c>
      <c r="C208" t="s">
        <v>13</v>
      </c>
      <c r="E208" t="s">
        <v>602</v>
      </c>
      <c r="F208">
        <v>3360</v>
      </c>
      <c r="G208" t="s">
        <v>35</v>
      </c>
      <c r="H208" t="s">
        <v>16</v>
      </c>
      <c r="I208" t="s">
        <v>603</v>
      </c>
      <c r="J208" t="s">
        <v>604</v>
      </c>
      <c r="K208" t="s">
        <v>430</v>
      </c>
      <c r="L208" t="str">
        <f>HYPERLINK("https://business-monitor.ch/de/companies/118788-ingold-sport-ag?utm_source=oberaargau","PROFIL ANSEHEN")</f>
        <v>PROFIL ANSEHEN</v>
      </c>
    </row>
    <row r="209" spans="1:12" x14ac:dyDescent="0.2">
      <c r="A209" t="s">
        <v>2835</v>
      </c>
      <c r="B209" t="s">
        <v>2836</v>
      </c>
      <c r="C209" t="s">
        <v>13</v>
      </c>
      <c r="E209" t="s">
        <v>2837</v>
      </c>
      <c r="F209">
        <v>4537</v>
      </c>
      <c r="G209" t="s">
        <v>113</v>
      </c>
      <c r="H209" t="s">
        <v>16</v>
      </c>
      <c r="I209" t="s">
        <v>59</v>
      </c>
      <c r="J209" t="s">
        <v>60</v>
      </c>
      <c r="K209" t="s">
        <v>430</v>
      </c>
      <c r="L209" t="str">
        <f>HYPERLINK("https://business-monitor.ch/de/companies/248069-walker-gastro-ag?utm_source=oberaargau","PROFIL ANSEHEN")</f>
        <v>PROFIL ANSEHEN</v>
      </c>
    </row>
    <row r="210" spans="1:12" x14ac:dyDescent="0.2">
      <c r="A210" t="s">
        <v>1537</v>
      </c>
      <c r="B210" t="s">
        <v>1538</v>
      </c>
      <c r="C210" t="s">
        <v>13</v>
      </c>
      <c r="E210" t="s">
        <v>12981</v>
      </c>
      <c r="F210">
        <v>4934</v>
      </c>
      <c r="G210" t="s">
        <v>670</v>
      </c>
      <c r="H210" t="s">
        <v>16</v>
      </c>
      <c r="I210" t="s">
        <v>642</v>
      </c>
      <c r="J210" t="s">
        <v>643</v>
      </c>
      <c r="K210" t="s">
        <v>430</v>
      </c>
      <c r="L210" t="str">
        <f>HYPERLINK("https://business-monitor.ch/de/companies/170718-garage-kueffer-ag?utm_source=oberaargau","PROFIL ANSEHEN")</f>
        <v>PROFIL ANSEHEN</v>
      </c>
    </row>
    <row r="211" spans="1:12" x14ac:dyDescent="0.2">
      <c r="A211" t="s">
        <v>708</v>
      </c>
      <c r="B211" t="s">
        <v>709</v>
      </c>
      <c r="C211" t="s">
        <v>13</v>
      </c>
      <c r="E211" t="s">
        <v>710</v>
      </c>
      <c r="F211">
        <v>4914</v>
      </c>
      <c r="G211" t="s">
        <v>105</v>
      </c>
      <c r="H211" t="s">
        <v>16</v>
      </c>
      <c r="I211" t="s">
        <v>642</v>
      </c>
      <c r="J211" t="s">
        <v>643</v>
      </c>
      <c r="K211" t="s">
        <v>430</v>
      </c>
      <c r="L211" t="str">
        <f>HYPERLINK("https://business-monitor.ch/de/companies/172327-garage-stucki-ag?utm_source=oberaargau","PROFIL ANSEHEN")</f>
        <v>PROFIL ANSEHEN</v>
      </c>
    </row>
    <row r="212" spans="1:12" x14ac:dyDescent="0.2">
      <c r="A212" t="s">
        <v>1076</v>
      </c>
      <c r="B212" t="s">
        <v>1077</v>
      </c>
      <c r="C212" t="s">
        <v>13</v>
      </c>
      <c r="E212" t="s">
        <v>85</v>
      </c>
      <c r="F212">
        <v>4950</v>
      </c>
      <c r="G212" t="s">
        <v>15</v>
      </c>
      <c r="H212" t="s">
        <v>16</v>
      </c>
      <c r="I212" t="s">
        <v>386</v>
      </c>
      <c r="J212" t="s">
        <v>387</v>
      </c>
      <c r="K212" t="s">
        <v>430</v>
      </c>
      <c r="L212" t="str">
        <f>HYPERLINK("https://business-monitor.ch/de/companies/255973-industrielle-betriebe-huttwil-ag?utm_source=oberaargau","PROFIL ANSEHEN")</f>
        <v>PROFIL ANSEHEN</v>
      </c>
    </row>
    <row r="213" spans="1:12" x14ac:dyDescent="0.2">
      <c r="A213" t="s">
        <v>1644</v>
      </c>
      <c r="B213" t="s">
        <v>1645</v>
      </c>
      <c r="C213" t="s">
        <v>13</v>
      </c>
      <c r="E213" t="s">
        <v>752</v>
      </c>
      <c r="F213">
        <v>4922</v>
      </c>
      <c r="G213" t="s">
        <v>99</v>
      </c>
      <c r="H213" t="s">
        <v>16</v>
      </c>
      <c r="I213" t="s">
        <v>260</v>
      </c>
      <c r="J213" t="s">
        <v>261</v>
      </c>
      <c r="K213" t="s">
        <v>430</v>
      </c>
      <c r="L213" t="str">
        <f>HYPERLINK("https://business-monitor.ch/de/companies/135024-idealbau-ag?utm_source=oberaargau","PROFIL ANSEHEN")</f>
        <v>PROFIL ANSEHEN</v>
      </c>
    </row>
    <row r="214" spans="1:12" x14ac:dyDescent="0.2">
      <c r="A214" t="s">
        <v>1678</v>
      </c>
      <c r="B214" t="s">
        <v>1679</v>
      </c>
      <c r="C214" t="s">
        <v>13</v>
      </c>
      <c r="E214" t="s">
        <v>541</v>
      </c>
      <c r="F214">
        <v>3360</v>
      </c>
      <c r="G214" t="s">
        <v>35</v>
      </c>
      <c r="H214" t="s">
        <v>16</v>
      </c>
      <c r="I214" t="s">
        <v>542</v>
      </c>
      <c r="J214" t="s">
        <v>543</v>
      </c>
      <c r="K214" t="s">
        <v>430</v>
      </c>
      <c r="L214" t="str">
        <f>HYPERLINK("https://business-monitor.ch/de/companies/245676-kaempfer-co-ag?utm_source=oberaargau","PROFIL ANSEHEN")</f>
        <v>PROFIL ANSEHEN</v>
      </c>
    </row>
    <row r="215" spans="1:12" x14ac:dyDescent="0.2">
      <c r="A215" t="s">
        <v>13866</v>
      </c>
      <c r="B215" t="s">
        <v>13867</v>
      </c>
      <c r="C215" t="s">
        <v>13</v>
      </c>
      <c r="E215" t="s">
        <v>550</v>
      </c>
      <c r="F215">
        <v>4900</v>
      </c>
      <c r="G215" t="s">
        <v>41</v>
      </c>
      <c r="H215" t="s">
        <v>16</v>
      </c>
      <c r="I215" t="s">
        <v>186</v>
      </c>
      <c r="J215" t="s">
        <v>187</v>
      </c>
      <c r="K215" t="s">
        <v>430</v>
      </c>
      <c r="L215" t="str">
        <f>HYPERLINK("https://business-monitor.ch/de/companies/1271873-nishcom-ag?utm_source=oberaargau","PROFIL ANSEHEN")</f>
        <v>PROFIL ANSEHEN</v>
      </c>
    </row>
    <row r="216" spans="1:12" x14ac:dyDescent="0.2">
      <c r="A216" t="s">
        <v>1347</v>
      </c>
      <c r="B216" t="s">
        <v>1348</v>
      </c>
      <c r="C216" t="s">
        <v>13</v>
      </c>
      <c r="E216" t="s">
        <v>419</v>
      </c>
      <c r="F216">
        <v>4913</v>
      </c>
      <c r="G216" t="s">
        <v>207</v>
      </c>
      <c r="H216" t="s">
        <v>16</v>
      </c>
      <c r="I216" t="s">
        <v>420</v>
      </c>
      <c r="J216" t="s">
        <v>421</v>
      </c>
      <c r="K216" t="s">
        <v>430</v>
      </c>
      <c r="L216" t="str">
        <f>HYPERLINK("https://business-monitor.ch/de/companies/1041979-cv-fleet-ag?utm_source=oberaargau","PROFIL ANSEHEN")</f>
        <v>PROFIL ANSEHEN</v>
      </c>
    </row>
    <row r="217" spans="1:12" x14ac:dyDescent="0.2">
      <c r="A217" t="s">
        <v>1293</v>
      </c>
      <c r="B217" t="s">
        <v>11167</v>
      </c>
      <c r="C217" t="s">
        <v>13</v>
      </c>
      <c r="D217" t="s">
        <v>11168</v>
      </c>
      <c r="E217" t="s">
        <v>1295</v>
      </c>
      <c r="F217">
        <v>4912</v>
      </c>
      <c r="G217" t="s">
        <v>64</v>
      </c>
      <c r="H217" t="s">
        <v>16</v>
      </c>
      <c r="I217" t="s">
        <v>1296</v>
      </c>
      <c r="J217" t="s">
        <v>1297</v>
      </c>
      <c r="K217" t="s">
        <v>430</v>
      </c>
      <c r="L217" t="str">
        <f>HYPERLINK("https://business-monitor.ch/de/companies/398120-ssg-immobilien-ag?utm_source=oberaargau","PROFIL ANSEHEN")</f>
        <v>PROFIL ANSEHEN</v>
      </c>
    </row>
    <row r="218" spans="1:12" x14ac:dyDescent="0.2">
      <c r="A218" t="s">
        <v>1339</v>
      </c>
      <c r="B218" t="s">
        <v>1340</v>
      </c>
      <c r="C218" t="s">
        <v>13</v>
      </c>
      <c r="E218" t="s">
        <v>14363</v>
      </c>
      <c r="F218">
        <v>3368</v>
      </c>
      <c r="G218" t="s">
        <v>308</v>
      </c>
      <c r="H218" t="s">
        <v>16</v>
      </c>
      <c r="I218" t="s">
        <v>72</v>
      </c>
      <c r="J218" t="s">
        <v>73</v>
      </c>
      <c r="K218" t="s">
        <v>430</v>
      </c>
      <c r="L218" t="str">
        <f>HYPERLINK("https://business-monitor.ch/de/companies/496202-daetwyler-management-ag?utm_source=oberaargau","PROFIL ANSEHEN")</f>
        <v>PROFIL ANSEHEN</v>
      </c>
    </row>
    <row r="219" spans="1:12" x14ac:dyDescent="0.2">
      <c r="A219" t="s">
        <v>526</v>
      </c>
      <c r="B219" t="s">
        <v>527</v>
      </c>
      <c r="C219" t="s">
        <v>13</v>
      </c>
      <c r="E219" t="s">
        <v>528</v>
      </c>
      <c r="F219">
        <v>4912</v>
      </c>
      <c r="G219" t="s">
        <v>64</v>
      </c>
      <c r="H219" t="s">
        <v>16</v>
      </c>
      <c r="I219" t="s">
        <v>186</v>
      </c>
      <c r="J219" t="s">
        <v>187</v>
      </c>
      <c r="K219" t="s">
        <v>430</v>
      </c>
      <c r="L219" t="str">
        <f>HYPERLINK("https://business-monitor.ch/de/companies/191849-waterjet-holding-ag?utm_source=oberaargau","PROFIL ANSEHEN")</f>
        <v>PROFIL ANSEHEN</v>
      </c>
    </row>
    <row r="220" spans="1:12" x14ac:dyDescent="0.2">
      <c r="A220" t="s">
        <v>1242</v>
      </c>
      <c r="B220" t="s">
        <v>1243</v>
      </c>
      <c r="C220" t="s">
        <v>13</v>
      </c>
      <c r="E220" t="s">
        <v>1244</v>
      </c>
      <c r="F220">
        <v>3360</v>
      </c>
      <c r="G220" t="s">
        <v>35</v>
      </c>
      <c r="H220" t="s">
        <v>16</v>
      </c>
      <c r="I220" t="s">
        <v>1245</v>
      </c>
      <c r="J220" t="s">
        <v>1246</v>
      </c>
      <c r="K220" t="s">
        <v>430</v>
      </c>
      <c r="L220" t="str">
        <f>HYPERLINK("https://business-monitor.ch/de/companies/72443-elkuch-bator-ag?utm_source=oberaargau","PROFIL ANSEHEN")</f>
        <v>PROFIL ANSEHEN</v>
      </c>
    </row>
    <row r="221" spans="1:12" x14ac:dyDescent="0.2">
      <c r="A221" t="s">
        <v>1386</v>
      </c>
      <c r="B221" t="s">
        <v>1387</v>
      </c>
      <c r="C221" t="s">
        <v>13</v>
      </c>
      <c r="E221" t="s">
        <v>1388</v>
      </c>
      <c r="F221">
        <v>4922</v>
      </c>
      <c r="G221" t="s">
        <v>99</v>
      </c>
      <c r="H221" t="s">
        <v>16</v>
      </c>
      <c r="I221" t="s">
        <v>642</v>
      </c>
      <c r="J221" t="s">
        <v>643</v>
      </c>
      <c r="K221" t="s">
        <v>430</v>
      </c>
      <c r="L221" t="str">
        <f>HYPERLINK("https://business-monitor.ch/de/companies/171633-schneeberger-ag-automobile?utm_source=oberaargau","PROFIL ANSEHEN")</f>
        <v>PROFIL ANSEHEN</v>
      </c>
    </row>
    <row r="222" spans="1:12" x14ac:dyDescent="0.2">
      <c r="A222" t="s">
        <v>1804</v>
      </c>
      <c r="B222" t="s">
        <v>1805</v>
      </c>
      <c r="C222" t="s">
        <v>13</v>
      </c>
      <c r="E222" t="s">
        <v>226</v>
      </c>
      <c r="F222">
        <v>4922</v>
      </c>
      <c r="G222" t="s">
        <v>99</v>
      </c>
      <c r="H222" t="s">
        <v>16</v>
      </c>
      <c r="I222" t="s">
        <v>65</v>
      </c>
      <c r="J222" t="s">
        <v>66</v>
      </c>
      <c r="K222" t="s">
        <v>430</v>
      </c>
      <c r="L222" t="str">
        <f>HYPERLINK("https://business-monitor.ch/de/companies/29867-askoma-ag?utm_source=oberaargau","PROFIL ANSEHEN")</f>
        <v>PROFIL ANSEHEN</v>
      </c>
    </row>
    <row r="223" spans="1:12" x14ac:dyDescent="0.2">
      <c r="A223" t="s">
        <v>1462</v>
      </c>
      <c r="B223" t="s">
        <v>1463</v>
      </c>
      <c r="C223" t="s">
        <v>13</v>
      </c>
      <c r="E223" t="s">
        <v>63</v>
      </c>
      <c r="F223">
        <v>4912</v>
      </c>
      <c r="G223" t="s">
        <v>64</v>
      </c>
      <c r="H223" t="s">
        <v>16</v>
      </c>
      <c r="I223" t="s">
        <v>475</v>
      </c>
      <c r="J223" t="s">
        <v>476</v>
      </c>
      <c r="K223" t="s">
        <v>430</v>
      </c>
      <c r="L223" t="str">
        <f>HYPERLINK("https://business-monitor.ch/de/companies/171452-althaus-management-ag?utm_source=oberaargau","PROFIL ANSEHEN")</f>
        <v>PROFIL ANSEHEN</v>
      </c>
    </row>
    <row r="224" spans="1:12" x14ac:dyDescent="0.2">
      <c r="A224" t="s">
        <v>698</v>
      </c>
      <c r="B224" t="s">
        <v>699</v>
      </c>
      <c r="C224" t="s">
        <v>13</v>
      </c>
      <c r="E224" t="s">
        <v>700</v>
      </c>
      <c r="F224">
        <v>4950</v>
      </c>
      <c r="G224" t="s">
        <v>15</v>
      </c>
      <c r="H224" t="s">
        <v>16</v>
      </c>
      <c r="I224" t="s">
        <v>134</v>
      </c>
      <c r="J224" t="s">
        <v>135</v>
      </c>
      <c r="K224" t="s">
        <v>430</v>
      </c>
      <c r="L224" t="str">
        <f>HYPERLINK("https://business-monitor.ch/de/companies/379320-schulze-elektro-ag?utm_source=oberaargau","PROFIL ANSEHEN")</f>
        <v>PROFIL ANSEHEN</v>
      </c>
    </row>
    <row r="225" spans="1:12" x14ac:dyDescent="0.2">
      <c r="A225" t="s">
        <v>1427</v>
      </c>
      <c r="B225" t="s">
        <v>1428</v>
      </c>
      <c r="C225" t="s">
        <v>13</v>
      </c>
      <c r="E225" t="s">
        <v>1429</v>
      </c>
      <c r="F225">
        <v>4900</v>
      </c>
      <c r="G225" t="s">
        <v>41</v>
      </c>
      <c r="H225" t="s">
        <v>16</v>
      </c>
      <c r="I225" t="s">
        <v>642</v>
      </c>
      <c r="J225" t="s">
        <v>643</v>
      </c>
      <c r="K225" t="s">
        <v>430</v>
      </c>
      <c r="L225" t="str">
        <f>HYPERLINK("https://business-monitor.ch/de/companies/613530-larag-ag-langenthal?utm_source=oberaargau","PROFIL ANSEHEN")</f>
        <v>PROFIL ANSEHEN</v>
      </c>
    </row>
    <row r="226" spans="1:12" x14ac:dyDescent="0.2">
      <c r="A226" t="s">
        <v>1605</v>
      </c>
      <c r="B226" t="s">
        <v>1606</v>
      </c>
      <c r="C226" t="s">
        <v>13</v>
      </c>
      <c r="E226" t="s">
        <v>14366</v>
      </c>
      <c r="F226">
        <v>4704</v>
      </c>
      <c r="G226" t="s">
        <v>221</v>
      </c>
      <c r="H226" t="s">
        <v>16</v>
      </c>
      <c r="I226" t="s">
        <v>8345</v>
      </c>
      <c r="J226" t="s">
        <v>8346</v>
      </c>
      <c r="K226" t="s">
        <v>430</v>
      </c>
      <c r="L226" t="str">
        <f>HYPERLINK("https://business-monitor.ch/de/companies/293654-boesiger-gemuesekulturen-ag?utm_source=oberaargau","PROFIL ANSEHEN")</f>
        <v>PROFIL ANSEHEN</v>
      </c>
    </row>
    <row r="227" spans="1:12" x14ac:dyDescent="0.2">
      <c r="A227" t="s">
        <v>626</v>
      </c>
      <c r="B227" t="s">
        <v>627</v>
      </c>
      <c r="C227" t="s">
        <v>13</v>
      </c>
      <c r="E227" t="s">
        <v>9952</v>
      </c>
      <c r="F227">
        <v>4537</v>
      </c>
      <c r="G227" t="s">
        <v>113</v>
      </c>
      <c r="H227" t="s">
        <v>16</v>
      </c>
      <c r="I227" t="s">
        <v>629</v>
      </c>
      <c r="J227" t="s">
        <v>630</v>
      </c>
      <c r="K227" t="s">
        <v>430</v>
      </c>
      <c r="L227" t="str">
        <f>HYPERLINK("https://business-monitor.ch/de/companies/87048-obrasso-verlag-ag?utm_source=oberaargau","PROFIL ANSEHEN")</f>
        <v>PROFIL ANSEHEN</v>
      </c>
    </row>
    <row r="228" spans="1:12" x14ac:dyDescent="0.2">
      <c r="A228" t="s">
        <v>494</v>
      </c>
      <c r="B228" t="s">
        <v>495</v>
      </c>
      <c r="C228" t="s">
        <v>13</v>
      </c>
      <c r="E228" t="s">
        <v>496</v>
      </c>
      <c r="F228">
        <v>4900</v>
      </c>
      <c r="G228" t="s">
        <v>41</v>
      </c>
      <c r="H228" t="s">
        <v>16</v>
      </c>
      <c r="I228" t="s">
        <v>497</v>
      </c>
      <c r="J228" t="s">
        <v>498</v>
      </c>
      <c r="K228" t="s">
        <v>430</v>
      </c>
      <c r="L228" t="str">
        <f>HYPERLINK("https://business-monitor.ch/de/companies/110848-digital-druckcenter-langenthal-ag?utm_source=oberaargau","PROFIL ANSEHEN")</f>
        <v>PROFIL ANSEHEN</v>
      </c>
    </row>
    <row r="229" spans="1:12" x14ac:dyDescent="0.2">
      <c r="A229" t="s">
        <v>852</v>
      </c>
      <c r="B229" t="s">
        <v>853</v>
      </c>
      <c r="C229" t="s">
        <v>202</v>
      </c>
      <c r="E229" t="s">
        <v>756</v>
      </c>
      <c r="F229">
        <v>3360</v>
      </c>
      <c r="G229" t="s">
        <v>35</v>
      </c>
      <c r="H229" t="s">
        <v>16</v>
      </c>
      <c r="I229" t="s">
        <v>854</v>
      </c>
      <c r="J229" t="s">
        <v>855</v>
      </c>
      <c r="K229" t="s">
        <v>430</v>
      </c>
      <c r="L229" t="str">
        <f>HYPERLINK("https://business-monitor.ch/de/companies/557268-cfu-gmbh?utm_source=oberaargau","PROFIL ANSEHEN")</f>
        <v>PROFIL ANSEHEN</v>
      </c>
    </row>
    <row r="230" spans="1:12" x14ac:dyDescent="0.2">
      <c r="A230" t="s">
        <v>1761</v>
      </c>
      <c r="B230" t="s">
        <v>1762</v>
      </c>
      <c r="C230" t="s">
        <v>13</v>
      </c>
      <c r="E230" t="s">
        <v>13273</v>
      </c>
      <c r="F230">
        <v>4950</v>
      </c>
      <c r="G230" t="s">
        <v>15</v>
      </c>
      <c r="H230" t="s">
        <v>16</v>
      </c>
      <c r="I230" t="s">
        <v>53</v>
      </c>
      <c r="J230" t="s">
        <v>54</v>
      </c>
      <c r="K230" t="s">
        <v>430</v>
      </c>
      <c r="L230" t="str">
        <f>HYPERLINK("https://business-monitor.ch/de/companies/75283-h-reinhard-ag?utm_source=oberaargau","PROFIL ANSEHEN")</f>
        <v>PROFIL ANSEHEN</v>
      </c>
    </row>
    <row r="231" spans="1:12" x14ac:dyDescent="0.2">
      <c r="A231" t="s">
        <v>593</v>
      </c>
      <c r="B231" t="s">
        <v>594</v>
      </c>
      <c r="C231" t="s">
        <v>13</v>
      </c>
      <c r="E231" t="s">
        <v>595</v>
      </c>
      <c r="F231">
        <v>4950</v>
      </c>
      <c r="G231" t="s">
        <v>15</v>
      </c>
      <c r="H231" t="s">
        <v>16</v>
      </c>
      <c r="I231" t="s">
        <v>596</v>
      </c>
      <c r="J231" t="s">
        <v>597</v>
      </c>
      <c r="K231" t="s">
        <v>430</v>
      </c>
      <c r="L231" t="str">
        <f>HYPERLINK("https://business-monitor.ch/de/companies/173831-gedex-getraenke-ag?utm_source=oberaargau","PROFIL ANSEHEN")</f>
        <v>PROFIL ANSEHEN</v>
      </c>
    </row>
    <row r="232" spans="1:12" x14ac:dyDescent="0.2">
      <c r="A232" t="s">
        <v>673</v>
      </c>
      <c r="B232" t="s">
        <v>674</v>
      </c>
      <c r="C232" t="s">
        <v>13</v>
      </c>
      <c r="E232" t="s">
        <v>675</v>
      </c>
      <c r="F232">
        <v>4934</v>
      </c>
      <c r="G232" t="s">
        <v>670</v>
      </c>
      <c r="H232" t="s">
        <v>16</v>
      </c>
      <c r="I232" t="s">
        <v>157</v>
      </c>
      <c r="J232" t="s">
        <v>158</v>
      </c>
      <c r="K232" t="s">
        <v>430</v>
      </c>
      <c r="L232" t="str">
        <f>HYPERLINK("https://business-monitor.ch/de/companies/95308-rohr-immo-ag?utm_source=oberaargau","PROFIL ANSEHEN")</f>
        <v>PROFIL ANSEHEN</v>
      </c>
    </row>
    <row r="233" spans="1:12" x14ac:dyDescent="0.2">
      <c r="A233" t="s">
        <v>877</v>
      </c>
      <c r="B233" t="s">
        <v>878</v>
      </c>
      <c r="C233" t="s">
        <v>202</v>
      </c>
      <c r="E233" t="s">
        <v>879</v>
      </c>
      <c r="F233">
        <v>3360</v>
      </c>
      <c r="G233" t="s">
        <v>35</v>
      </c>
      <c r="H233" t="s">
        <v>16</v>
      </c>
      <c r="I233" t="s">
        <v>232</v>
      </c>
      <c r="J233" t="s">
        <v>233</v>
      </c>
      <c r="K233" t="s">
        <v>430</v>
      </c>
      <c r="L233" t="str">
        <f>HYPERLINK("https://business-monitor.ch/de/companies/655574-buchsiness-gmbh?utm_source=oberaargau","PROFIL ANSEHEN")</f>
        <v>PROFIL ANSEHEN</v>
      </c>
    </row>
    <row r="234" spans="1:12" x14ac:dyDescent="0.2">
      <c r="A234" t="s">
        <v>1183</v>
      </c>
      <c r="B234" t="s">
        <v>1184</v>
      </c>
      <c r="C234" t="s">
        <v>13</v>
      </c>
      <c r="E234" t="s">
        <v>756</v>
      </c>
      <c r="F234">
        <v>3360</v>
      </c>
      <c r="G234" t="s">
        <v>35</v>
      </c>
      <c r="H234" t="s">
        <v>16</v>
      </c>
      <c r="I234" t="s">
        <v>906</v>
      </c>
      <c r="J234" t="s">
        <v>907</v>
      </c>
      <c r="K234" t="s">
        <v>430</v>
      </c>
      <c r="L234" t="str">
        <f>HYPERLINK("https://business-monitor.ch/de/companies/245447-fl-baumeisterhaus-ag?utm_source=oberaargau","PROFIL ANSEHEN")</f>
        <v>PROFIL ANSEHEN</v>
      </c>
    </row>
    <row r="235" spans="1:12" x14ac:dyDescent="0.2">
      <c r="A235" t="s">
        <v>557</v>
      </c>
      <c r="B235" t="s">
        <v>558</v>
      </c>
      <c r="C235" t="s">
        <v>13</v>
      </c>
      <c r="E235" t="s">
        <v>559</v>
      </c>
      <c r="F235">
        <v>4900</v>
      </c>
      <c r="G235" t="s">
        <v>41</v>
      </c>
      <c r="H235" t="s">
        <v>16</v>
      </c>
      <c r="I235" t="s">
        <v>560</v>
      </c>
      <c r="J235" t="s">
        <v>561</v>
      </c>
      <c r="K235" t="s">
        <v>430</v>
      </c>
      <c r="L235" t="str">
        <f>HYPERLINK("https://business-monitor.ch/de/companies/309304-apotheke-dr-lanz-ag?utm_source=oberaargau","PROFIL ANSEHEN")</f>
        <v>PROFIL ANSEHEN</v>
      </c>
    </row>
    <row r="236" spans="1:12" x14ac:dyDescent="0.2">
      <c r="A236" t="s">
        <v>483</v>
      </c>
      <c r="B236" t="s">
        <v>484</v>
      </c>
      <c r="C236" t="s">
        <v>13</v>
      </c>
      <c r="E236" t="s">
        <v>485</v>
      </c>
      <c r="F236">
        <v>4704</v>
      </c>
      <c r="G236" t="s">
        <v>221</v>
      </c>
      <c r="H236" t="s">
        <v>16</v>
      </c>
      <c r="I236" t="s">
        <v>486</v>
      </c>
      <c r="J236" t="s">
        <v>487</v>
      </c>
      <c r="K236" t="s">
        <v>430</v>
      </c>
      <c r="L236" t="str">
        <f>HYPERLINK("https://business-monitor.ch/de/companies/205675-fames-ag?utm_source=oberaargau","PROFIL ANSEHEN")</f>
        <v>PROFIL ANSEHEN</v>
      </c>
    </row>
    <row r="237" spans="1:12" x14ac:dyDescent="0.2">
      <c r="A237" t="s">
        <v>774</v>
      </c>
      <c r="B237" t="s">
        <v>775</v>
      </c>
      <c r="C237" t="s">
        <v>13</v>
      </c>
      <c r="E237" t="s">
        <v>776</v>
      </c>
      <c r="F237">
        <v>4914</v>
      </c>
      <c r="G237" t="s">
        <v>105</v>
      </c>
      <c r="H237" t="s">
        <v>16</v>
      </c>
      <c r="I237" t="s">
        <v>469</v>
      </c>
      <c r="J237" t="s">
        <v>470</v>
      </c>
      <c r="K237" t="s">
        <v>430</v>
      </c>
      <c r="L237" t="str">
        <f>HYPERLINK("https://business-monitor.ch/de/companies/163268-e-gruetter-ag?utm_source=oberaargau","PROFIL ANSEHEN")</f>
        <v>PROFIL ANSEHEN</v>
      </c>
    </row>
    <row r="238" spans="1:12" x14ac:dyDescent="0.2">
      <c r="A238" t="s">
        <v>382</v>
      </c>
      <c r="B238" t="s">
        <v>383</v>
      </c>
      <c r="C238" t="s">
        <v>13</v>
      </c>
      <c r="D238" t="s">
        <v>384</v>
      </c>
      <c r="E238" t="s">
        <v>385</v>
      </c>
      <c r="F238">
        <v>4538</v>
      </c>
      <c r="G238" t="s">
        <v>71</v>
      </c>
      <c r="H238" t="s">
        <v>16</v>
      </c>
      <c r="I238" t="s">
        <v>386</v>
      </c>
      <c r="J238" t="s">
        <v>387</v>
      </c>
      <c r="K238" t="s">
        <v>430</v>
      </c>
      <c r="L238" t="str">
        <f>HYPERLINK("https://business-monitor.ch/de/companies/191933-wasserverbund-bipperamt-ag?utm_source=oberaargau","PROFIL ANSEHEN")</f>
        <v>PROFIL ANSEHEN</v>
      </c>
    </row>
    <row r="239" spans="1:12" x14ac:dyDescent="0.2">
      <c r="A239" t="s">
        <v>576</v>
      </c>
      <c r="B239" t="s">
        <v>577</v>
      </c>
      <c r="C239" t="s">
        <v>13</v>
      </c>
      <c r="E239" t="s">
        <v>578</v>
      </c>
      <c r="F239">
        <v>4704</v>
      </c>
      <c r="G239" t="s">
        <v>221</v>
      </c>
      <c r="H239" t="s">
        <v>16</v>
      </c>
      <c r="I239" t="s">
        <v>175</v>
      </c>
      <c r="J239" t="s">
        <v>176</v>
      </c>
      <c r="K239" t="s">
        <v>430</v>
      </c>
      <c r="L239" t="str">
        <f>HYPERLINK("https://business-monitor.ch/de/companies/1012891-carrosserie-gabi-ag?utm_source=oberaargau","PROFIL ANSEHEN")</f>
        <v>PROFIL ANSEHEN</v>
      </c>
    </row>
    <row r="240" spans="1:12" x14ac:dyDescent="0.2">
      <c r="A240" t="s">
        <v>234</v>
      </c>
      <c r="B240" t="s">
        <v>235</v>
      </c>
      <c r="C240" t="s">
        <v>13</v>
      </c>
      <c r="E240" t="s">
        <v>236</v>
      </c>
      <c r="F240">
        <v>3380</v>
      </c>
      <c r="G240" t="s">
        <v>29</v>
      </c>
      <c r="H240" t="s">
        <v>16</v>
      </c>
      <c r="I240" t="s">
        <v>237</v>
      </c>
      <c r="J240" t="s">
        <v>238</v>
      </c>
      <c r="K240" t="s">
        <v>430</v>
      </c>
      <c r="L240" t="str">
        <f>HYPERLINK("https://business-monitor.ch/de/companies/88967-toga-food-sa?utm_source=oberaargau","PROFIL ANSEHEN")</f>
        <v>PROFIL ANSEHEN</v>
      </c>
    </row>
    <row r="241" spans="1:12" x14ac:dyDescent="0.2">
      <c r="A241" t="s">
        <v>582</v>
      </c>
      <c r="B241" t="s">
        <v>583</v>
      </c>
      <c r="C241" t="s">
        <v>13</v>
      </c>
      <c r="E241" t="s">
        <v>584</v>
      </c>
      <c r="F241">
        <v>3380</v>
      </c>
      <c r="G241" t="s">
        <v>29</v>
      </c>
      <c r="H241" t="s">
        <v>16</v>
      </c>
      <c r="I241" t="s">
        <v>624</v>
      </c>
      <c r="J241" t="s">
        <v>625</v>
      </c>
      <c r="K241" t="s">
        <v>430</v>
      </c>
      <c r="L241" t="str">
        <f>HYPERLINK("https://business-monitor.ch/de/companies/620497-e-f-abbundwerk-ag?utm_source=oberaargau","PROFIL ANSEHEN")</f>
        <v>PROFIL ANSEHEN</v>
      </c>
    </row>
    <row r="242" spans="1:12" x14ac:dyDescent="0.2">
      <c r="A242" t="s">
        <v>1135</v>
      </c>
      <c r="B242" t="s">
        <v>1136</v>
      </c>
      <c r="C242" t="s">
        <v>13</v>
      </c>
      <c r="E242" t="s">
        <v>129</v>
      </c>
      <c r="F242">
        <v>4900</v>
      </c>
      <c r="G242" t="s">
        <v>41</v>
      </c>
      <c r="H242" t="s">
        <v>16</v>
      </c>
      <c r="I242" t="s">
        <v>153</v>
      </c>
      <c r="J242" t="s">
        <v>154</v>
      </c>
      <c r="K242" t="s">
        <v>430</v>
      </c>
      <c r="L242" t="str">
        <f>HYPERLINK("https://business-monitor.ch/de/companies/1031198-caynova-ag?utm_source=oberaargau","PROFIL ANSEHEN")</f>
        <v>PROFIL ANSEHEN</v>
      </c>
    </row>
    <row r="243" spans="1:12" x14ac:dyDescent="0.2">
      <c r="A243" t="s">
        <v>1539</v>
      </c>
      <c r="B243" t="s">
        <v>1540</v>
      </c>
      <c r="C243" t="s">
        <v>13</v>
      </c>
      <c r="E243" t="s">
        <v>1244</v>
      </c>
      <c r="F243">
        <v>3360</v>
      </c>
      <c r="G243" t="s">
        <v>35</v>
      </c>
      <c r="H243" t="s">
        <v>16</v>
      </c>
      <c r="I243" t="s">
        <v>1245</v>
      </c>
      <c r="J243" t="s">
        <v>1246</v>
      </c>
      <c r="K243" t="s">
        <v>430</v>
      </c>
      <c r="L243" t="str">
        <f>HYPERLINK("https://business-monitor.ch/de/companies/957318-bator-ag?utm_source=oberaargau","PROFIL ANSEHEN")</f>
        <v>PROFIL ANSEHEN</v>
      </c>
    </row>
    <row r="244" spans="1:12" x14ac:dyDescent="0.2">
      <c r="A244" t="s">
        <v>1236</v>
      </c>
      <c r="B244" t="s">
        <v>1237</v>
      </c>
      <c r="C244" t="s">
        <v>13</v>
      </c>
      <c r="E244" t="s">
        <v>1238</v>
      </c>
      <c r="F244">
        <v>4537</v>
      </c>
      <c r="G244" t="s">
        <v>113</v>
      </c>
      <c r="H244" t="s">
        <v>16</v>
      </c>
      <c r="I244" t="s">
        <v>671</v>
      </c>
      <c r="J244" t="s">
        <v>672</v>
      </c>
      <c r="K244" t="s">
        <v>430</v>
      </c>
      <c r="L244" t="str">
        <f>HYPERLINK("https://business-monitor.ch/de/companies/489992-oelepraxis-aerztezentrum-attiswil-wiedlisbach-ag?utm_source=oberaargau","PROFIL ANSEHEN")</f>
        <v>PROFIL ANSEHEN</v>
      </c>
    </row>
    <row r="245" spans="1:12" x14ac:dyDescent="0.2">
      <c r="A245" t="s">
        <v>312</v>
      </c>
      <c r="B245" t="s">
        <v>313</v>
      </c>
      <c r="C245" t="s">
        <v>13</v>
      </c>
      <c r="E245" t="s">
        <v>314</v>
      </c>
      <c r="F245">
        <v>3360</v>
      </c>
      <c r="G245" t="s">
        <v>35</v>
      </c>
      <c r="H245" t="s">
        <v>16</v>
      </c>
      <c r="I245" t="s">
        <v>315</v>
      </c>
      <c r="J245" t="s">
        <v>316</v>
      </c>
      <c r="K245" t="s">
        <v>430</v>
      </c>
      <c r="L245" t="str">
        <f>HYPERLINK("https://business-monitor.ch/de/companies/74962-duap-ag?utm_source=oberaargau","PROFIL ANSEHEN")</f>
        <v>PROFIL ANSEHEN</v>
      </c>
    </row>
    <row r="246" spans="1:12" x14ac:dyDescent="0.2">
      <c r="A246" t="s">
        <v>8513</v>
      </c>
      <c r="B246" t="s">
        <v>8514</v>
      </c>
      <c r="C246" t="s">
        <v>13</v>
      </c>
      <c r="E246" t="s">
        <v>52</v>
      </c>
      <c r="F246">
        <v>3360</v>
      </c>
      <c r="G246" t="s">
        <v>35</v>
      </c>
      <c r="H246" t="s">
        <v>16</v>
      </c>
      <c r="I246" t="s">
        <v>331</v>
      </c>
      <c r="J246" t="s">
        <v>332</v>
      </c>
      <c r="K246" t="s">
        <v>430</v>
      </c>
      <c r="L246" t="str">
        <f>HYPERLINK("https://business-monitor.ch/de/companies/1018617-fischer-technology-ag?utm_source=oberaargau","PROFIL ANSEHEN")</f>
        <v>PROFIL ANSEHEN</v>
      </c>
    </row>
    <row r="247" spans="1:12" x14ac:dyDescent="0.2">
      <c r="A247" t="s">
        <v>1165</v>
      </c>
      <c r="B247" t="s">
        <v>1166</v>
      </c>
      <c r="C247" t="s">
        <v>13</v>
      </c>
      <c r="E247" t="s">
        <v>1167</v>
      </c>
      <c r="F247">
        <v>4900</v>
      </c>
      <c r="G247" t="s">
        <v>41</v>
      </c>
      <c r="H247" t="s">
        <v>16</v>
      </c>
      <c r="I247" t="s">
        <v>486</v>
      </c>
      <c r="J247" t="s">
        <v>487</v>
      </c>
      <c r="K247" t="s">
        <v>430</v>
      </c>
      <c r="L247" t="str">
        <f>HYPERLINK("https://business-monitor.ch/de/companies/106730-fr-metallbau-ag?utm_source=oberaargau","PROFIL ANSEHEN")</f>
        <v>PROFIL ANSEHEN</v>
      </c>
    </row>
    <row r="248" spans="1:12" x14ac:dyDescent="0.2">
      <c r="A248" t="s">
        <v>309</v>
      </c>
      <c r="B248" t="s">
        <v>310</v>
      </c>
      <c r="C248" t="s">
        <v>13</v>
      </c>
      <c r="E248" t="s">
        <v>311</v>
      </c>
      <c r="F248">
        <v>3360</v>
      </c>
      <c r="G248" t="s">
        <v>35</v>
      </c>
      <c r="H248" t="s">
        <v>16</v>
      </c>
      <c r="I248" t="s">
        <v>2619</v>
      </c>
      <c r="J248" t="s">
        <v>2620</v>
      </c>
      <c r="K248" t="s">
        <v>430</v>
      </c>
      <c r="L248" t="str">
        <f>HYPERLINK("https://business-monitor.ch/de/companies/638187-kreuz-herzogenbuchsee-betriebs-ag?utm_source=oberaargau","PROFIL ANSEHEN")</f>
        <v>PROFIL ANSEHEN</v>
      </c>
    </row>
    <row r="249" spans="1:12" x14ac:dyDescent="0.2">
      <c r="A249" t="s">
        <v>1771</v>
      </c>
      <c r="B249" t="s">
        <v>1772</v>
      </c>
      <c r="C249" t="s">
        <v>202</v>
      </c>
      <c r="E249" t="s">
        <v>1773</v>
      </c>
      <c r="F249">
        <v>3367</v>
      </c>
      <c r="G249" t="s">
        <v>1336</v>
      </c>
      <c r="H249" t="s">
        <v>16</v>
      </c>
      <c r="I249" t="s">
        <v>551</v>
      </c>
      <c r="J249" t="s">
        <v>552</v>
      </c>
      <c r="K249" t="s">
        <v>430</v>
      </c>
      <c r="L249" t="str">
        <f>HYPERLINK("https://business-monitor.ch/de/companies/342671-infrawerk-gmbh?utm_source=oberaargau","PROFIL ANSEHEN")</f>
        <v>PROFIL ANSEHEN</v>
      </c>
    </row>
    <row r="250" spans="1:12" x14ac:dyDescent="0.2">
      <c r="A250" t="s">
        <v>1198</v>
      </c>
      <c r="B250" t="s">
        <v>1199</v>
      </c>
      <c r="C250" t="s">
        <v>13</v>
      </c>
      <c r="E250" t="s">
        <v>1200</v>
      </c>
      <c r="F250">
        <v>4900</v>
      </c>
      <c r="G250" t="s">
        <v>41</v>
      </c>
      <c r="H250" t="s">
        <v>16</v>
      </c>
      <c r="I250" t="s">
        <v>260</v>
      </c>
      <c r="J250" t="s">
        <v>261</v>
      </c>
      <c r="K250" t="s">
        <v>430</v>
      </c>
      <c r="L250" t="str">
        <f>HYPERLINK("https://business-monitor.ch/de/companies/694247-mueller-partner-dipl-architekten-htl-stv-ag?utm_source=oberaargau","PROFIL ANSEHEN")</f>
        <v>PROFIL ANSEHEN</v>
      </c>
    </row>
    <row r="251" spans="1:12" x14ac:dyDescent="0.2">
      <c r="A251" t="s">
        <v>13936</v>
      </c>
      <c r="B251" t="s">
        <v>13937</v>
      </c>
      <c r="C251" t="s">
        <v>202</v>
      </c>
      <c r="E251" t="s">
        <v>880</v>
      </c>
      <c r="F251">
        <v>3368</v>
      </c>
      <c r="G251" t="s">
        <v>308</v>
      </c>
      <c r="H251" t="s">
        <v>16</v>
      </c>
      <c r="I251" t="s">
        <v>153</v>
      </c>
      <c r="J251" t="s">
        <v>154</v>
      </c>
      <c r="K251" t="s">
        <v>430</v>
      </c>
      <c r="L251" t="str">
        <f>HYPERLINK("https://business-monitor.ch/de/companies/1272944-kasag-process-gmbh?utm_source=oberaargau","PROFIL ANSEHEN")</f>
        <v>PROFIL ANSEHEN</v>
      </c>
    </row>
    <row r="252" spans="1:12" x14ac:dyDescent="0.2">
      <c r="A252" t="s">
        <v>960</v>
      </c>
      <c r="B252" t="s">
        <v>961</v>
      </c>
      <c r="C252" t="s">
        <v>13</v>
      </c>
      <c r="E252" t="s">
        <v>927</v>
      </c>
      <c r="F252">
        <v>4914</v>
      </c>
      <c r="G252" t="s">
        <v>105</v>
      </c>
      <c r="H252" t="s">
        <v>16</v>
      </c>
      <c r="I252" t="s">
        <v>854</v>
      </c>
      <c r="J252" t="s">
        <v>855</v>
      </c>
      <c r="K252" t="s">
        <v>430</v>
      </c>
      <c r="L252" t="str">
        <f>HYPERLINK("https://business-monitor.ch/de/companies/1051671-atexxi-systems-ag?utm_source=oberaargau","PROFIL ANSEHEN")</f>
        <v>PROFIL ANSEHEN</v>
      </c>
    </row>
    <row r="253" spans="1:12" x14ac:dyDescent="0.2">
      <c r="A253" t="s">
        <v>1487</v>
      </c>
      <c r="B253" t="s">
        <v>1488</v>
      </c>
      <c r="C253" t="s">
        <v>13</v>
      </c>
      <c r="D253" t="s">
        <v>713</v>
      </c>
      <c r="E253" t="s">
        <v>714</v>
      </c>
      <c r="F253">
        <v>4900</v>
      </c>
      <c r="G253" t="s">
        <v>41</v>
      </c>
      <c r="H253" t="s">
        <v>16</v>
      </c>
      <c r="I253" t="s">
        <v>77</v>
      </c>
      <c r="J253" t="s">
        <v>78</v>
      </c>
      <c r="K253" t="s">
        <v>430</v>
      </c>
      <c r="L253" t="str">
        <f>HYPERLINK("https://business-monitor.ch/de/companies/297481-logodom-ag?utm_source=oberaargau","PROFIL ANSEHEN")</f>
        <v>PROFIL ANSEHEN</v>
      </c>
    </row>
    <row r="254" spans="1:12" x14ac:dyDescent="0.2">
      <c r="A254" t="s">
        <v>1015</v>
      </c>
      <c r="B254" t="s">
        <v>3605</v>
      </c>
      <c r="C254" t="s">
        <v>13</v>
      </c>
      <c r="E254" t="s">
        <v>1016</v>
      </c>
      <c r="F254">
        <v>4914</v>
      </c>
      <c r="G254" t="s">
        <v>105</v>
      </c>
      <c r="H254" t="s">
        <v>16</v>
      </c>
      <c r="I254" t="s">
        <v>1017</v>
      </c>
      <c r="J254" t="s">
        <v>1018</v>
      </c>
      <c r="K254" t="s">
        <v>430</v>
      </c>
      <c r="L254" t="str">
        <f>HYPERLINK("https://business-monitor.ch/de/companies/967784-sam-transporte-ag?utm_source=oberaargau","PROFIL ANSEHEN")</f>
        <v>PROFIL ANSEHEN</v>
      </c>
    </row>
    <row r="255" spans="1:12" x14ac:dyDescent="0.2">
      <c r="A255" t="s">
        <v>562</v>
      </c>
      <c r="B255" t="s">
        <v>563</v>
      </c>
      <c r="C255" t="s">
        <v>13</v>
      </c>
      <c r="E255" t="s">
        <v>564</v>
      </c>
      <c r="F255">
        <v>4912</v>
      </c>
      <c r="G255" t="s">
        <v>64</v>
      </c>
      <c r="H255" t="s">
        <v>16</v>
      </c>
      <c r="I255" t="s">
        <v>565</v>
      </c>
      <c r="J255" t="s">
        <v>566</v>
      </c>
      <c r="K255" t="s">
        <v>430</v>
      </c>
      <c r="L255" t="str">
        <f>HYPERLINK("https://business-monitor.ch/de/companies/248352-dorfbeck-nyfeler-ag?utm_source=oberaargau","PROFIL ANSEHEN")</f>
        <v>PROFIL ANSEHEN</v>
      </c>
    </row>
    <row r="256" spans="1:12" x14ac:dyDescent="0.2">
      <c r="A256" t="s">
        <v>6315</v>
      </c>
      <c r="B256" t="s">
        <v>6316</v>
      </c>
      <c r="C256" t="s">
        <v>202</v>
      </c>
      <c r="E256" t="s">
        <v>6317</v>
      </c>
      <c r="F256">
        <v>4704</v>
      </c>
      <c r="G256" t="s">
        <v>221</v>
      </c>
      <c r="H256" t="s">
        <v>16</v>
      </c>
      <c r="I256" t="s">
        <v>1865</v>
      </c>
      <c r="J256" t="s">
        <v>1866</v>
      </c>
      <c r="K256" t="s">
        <v>430</v>
      </c>
      <c r="L256" t="str">
        <f>HYPERLINK("https://business-monitor.ch/de/companies/328865-wegmueller-hauswartungen-gmbh?utm_source=oberaargau","PROFIL ANSEHEN")</f>
        <v>PROFIL ANSEHEN</v>
      </c>
    </row>
    <row r="257" spans="1:12" x14ac:dyDescent="0.2">
      <c r="A257" t="s">
        <v>1801</v>
      </c>
      <c r="B257" t="s">
        <v>1802</v>
      </c>
      <c r="C257" t="s">
        <v>13</v>
      </c>
      <c r="E257" t="s">
        <v>1803</v>
      </c>
      <c r="F257">
        <v>4922</v>
      </c>
      <c r="G257" t="s">
        <v>99</v>
      </c>
      <c r="H257" t="s">
        <v>16</v>
      </c>
      <c r="I257" t="s">
        <v>157</v>
      </c>
      <c r="J257" t="s">
        <v>158</v>
      </c>
      <c r="K257" t="s">
        <v>430</v>
      </c>
      <c r="L257" t="str">
        <f>HYPERLINK("https://business-monitor.ch/de/companies/29902-novorex-ag-immobilien?utm_source=oberaargau","PROFIL ANSEHEN")</f>
        <v>PROFIL ANSEHEN</v>
      </c>
    </row>
    <row r="258" spans="1:12" x14ac:dyDescent="0.2">
      <c r="A258" t="s">
        <v>8654</v>
      </c>
      <c r="B258" t="s">
        <v>8655</v>
      </c>
      <c r="C258" t="s">
        <v>13</v>
      </c>
      <c r="E258" t="s">
        <v>8656</v>
      </c>
      <c r="F258">
        <v>4922</v>
      </c>
      <c r="G258" t="s">
        <v>99</v>
      </c>
      <c r="H258" t="s">
        <v>16</v>
      </c>
      <c r="I258" t="s">
        <v>175</v>
      </c>
      <c r="J258" t="s">
        <v>176</v>
      </c>
      <c r="K258" t="s">
        <v>430</v>
      </c>
      <c r="L258" t="str">
        <f>HYPERLINK("https://business-monitor.ch/de/companies/190459-carrosserie-saegesser-ag?utm_source=oberaargau","PROFIL ANSEHEN")</f>
        <v>PROFIL ANSEHEN</v>
      </c>
    </row>
    <row r="259" spans="1:12" x14ac:dyDescent="0.2">
      <c r="A259" t="s">
        <v>1433</v>
      </c>
      <c r="B259" t="s">
        <v>1434</v>
      </c>
      <c r="C259" t="s">
        <v>13</v>
      </c>
      <c r="E259" t="s">
        <v>1435</v>
      </c>
      <c r="F259">
        <v>3367</v>
      </c>
      <c r="G259" t="s">
        <v>455</v>
      </c>
      <c r="H259" t="s">
        <v>16</v>
      </c>
      <c r="I259" t="s">
        <v>232</v>
      </c>
      <c r="J259" t="s">
        <v>233</v>
      </c>
      <c r="K259" t="s">
        <v>430</v>
      </c>
      <c r="L259" t="str">
        <f>HYPERLINK("https://business-monitor.ch/de/companies/173904-ulrich-staub-buchhaltungs-und-treuhandbuero-ag?utm_source=oberaargau","PROFIL ANSEHEN")</f>
        <v>PROFIL ANSEHEN</v>
      </c>
    </row>
    <row r="260" spans="1:12" x14ac:dyDescent="0.2">
      <c r="A260" t="s">
        <v>1595</v>
      </c>
      <c r="B260" t="s">
        <v>1596</v>
      </c>
      <c r="C260" t="s">
        <v>84</v>
      </c>
      <c r="E260" t="s">
        <v>1597</v>
      </c>
      <c r="F260">
        <v>4900</v>
      </c>
      <c r="G260" t="s">
        <v>41</v>
      </c>
      <c r="H260" t="s">
        <v>16</v>
      </c>
      <c r="I260" t="s">
        <v>1598</v>
      </c>
      <c r="J260" t="s">
        <v>1599</v>
      </c>
      <c r="K260" t="s">
        <v>430</v>
      </c>
      <c r="L260" t="str">
        <f>HYPERLINK("https://business-monitor.ch/de/companies/141878-schlachthausgenossenschaft-langenthal?utm_source=oberaargau","PROFIL ANSEHEN")</f>
        <v>PROFIL ANSEHEN</v>
      </c>
    </row>
    <row r="261" spans="1:12" x14ac:dyDescent="0.2">
      <c r="A261" t="s">
        <v>1403</v>
      </c>
      <c r="B261" t="s">
        <v>1404</v>
      </c>
      <c r="C261" t="s">
        <v>202</v>
      </c>
      <c r="E261" t="s">
        <v>1405</v>
      </c>
      <c r="F261">
        <v>4912</v>
      </c>
      <c r="G261" t="s">
        <v>64</v>
      </c>
      <c r="H261" t="s">
        <v>16</v>
      </c>
      <c r="I261" t="s">
        <v>642</v>
      </c>
      <c r="J261" t="s">
        <v>643</v>
      </c>
      <c r="K261" t="s">
        <v>430</v>
      </c>
      <c r="L261" t="str">
        <f>HYPERLINK("https://business-monitor.ch/de/companies/485592-schuepbach-fahrzeugelektrik-gmbh?utm_source=oberaargau","PROFIL ANSEHEN")</f>
        <v>PROFIL ANSEHEN</v>
      </c>
    </row>
    <row r="262" spans="1:12" x14ac:dyDescent="0.2">
      <c r="A262" t="s">
        <v>1654</v>
      </c>
      <c r="B262" t="s">
        <v>1655</v>
      </c>
      <c r="C262" t="s">
        <v>202</v>
      </c>
      <c r="E262" t="s">
        <v>14363</v>
      </c>
      <c r="F262">
        <v>3368</v>
      </c>
      <c r="G262" t="s">
        <v>308</v>
      </c>
      <c r="H262" t="s">
        <v>16</v>
      </c>
      <c r="I262" t="s">
        <v>1656</v>
      </c>
      <c r="J262" t="s">
        <v>1657</v>
      </c>
      <c r="K262" t="s">
        <v>430</v>
      </c>
      <c r="L262" t="str">
        <f>HYPERLINK("https://business-monitor.ch/de/companies/444079-airla-aircraft-service-gmbh?utm_source=oberaargau","PROFIL ANSEHEN")</f>
        <v>PROFIL ANSEHEN</v>
      </c>
    </row>
    <row r="263" spans="1:12" x14ac:dyDescent="0.2">
      <c r="A263" t="s">
        <v>1355</v>
      </c>
      <c r="B263" t="s">
        <v>1356</v>
      </c>
      <c r="C263" t="s">
        <v>202</v>
      </c>
      <c r="E263" t="s">
        <v>1357</v>
      </c>
      <c r="F263">
        <v>4900</v>
      </c>
      <c r="G263" t="s">
        <v>41</v>
      </c>
      <c r="H263" t="s">
        <v>16</v>
      </c>
      <c r="I263" t="s">
        <v>232</v>
      </c>
      <c r="J263" t="s">
        <v>233</v>
      </c>
      <c r="K263" t="s">
        <v>430</v>
      </c>
      <c r="L263" t="str">
        <f>HYPERLINK("https://business-monitor.ch/de/companies/556655-grevag-consulting-gmbh?utm_source=oberaargau","PROFIL ANSEHEN")</f>
        <v>PROFIL ANSEHEN</v>
      </c>
    </row>
    <row r="264" spans="1:12" x14ac:dyDescent="0.2">
      <c r="A264" t="s">
        <v>521</v>
      </c>
      <c r="B264" t="s">
        <v>1685</v>
      </c>
      <c r="C264" t="s">
        <v>13</v>
      </c>
      <c r="E264" t="s">
        <v>1686</v>
      </c>
      <c r="F264">
        <v>4950</v>
      </c>
      <c r="G264" t="s">
        <v>15</v>
      </c>
      <c r="H264" t="s">
        <v>16</v>
      </c>
      <c r="I264" t="s">
        <v>486</v>
      </c>
      <c r="J264" t="s">
        <v>487</v>
      </c>
      <c r="K264" t="s">
        <v>430</v>
      </c>
      <c r="L264" t="str">
        <f>HYPERLINK("https://business-monitor.ch/de/companies/75657-a-lanz-ag?utm_source=oberaargau","PROFIL ANSEHEN")</f>
        <v>PROFIL ANSEHEN</v>
      </c>
    </row>
    <row r="265" spans="1:12" x14ac:dyDescent="0.2">
      <c r="A265" t="s">
        <v>1794</v>
      </c>
      <c r="B265" t="s">
        <v>1795</v>
      </c>
      <c r="C265" t="s">
        <v>737</v>
      </c>
      <c r="E265" t="s">
        <v>1796</v>
      </c>
      <c r="F265">
        <v>4914</v>
      </c>
      <c r="G265" t="s">
        <v>105</v>
      </c>
      <c r="H265" t="s">
        <v>16</v>
      </c>
      <c r="I265" t="s">
        <v>386</v>
      </c>
      <c r="J265" t="s">
        <v>387</v>
      </c>
      <c r="K265" t="s">
        <v>430</v>
      </c>
      <c r="L265" t="str">
        <f>HYPERLINK("https://business-monitor.ch/de/companies/684355-gemeindebetriebe-roggwil-gbr?utm_source=oberaargau","PROFIL ANSEHEN")</f>
        <v>PROFIL ANSEHEN</v>
      </c>
    </row>
    <row r="266" spans="1:12" x14ac:dyDescent="0.2">
      <c r="A266" t="s">
        <v>471</v>
      </c>
      <c r="B266" t="s">
        <v>472</v>
      </c>
      <c r="C266" t="s">
        <v>13</v>
      </c>
      <c r="E266" t="s">
        <v>473</v>
      </c>
      <c r="F266">
        <v>4900</v>
      </c>
      <c r="G266" t="s">
        <v>41</v>
      </c>
      <c r="H266" t="s">
        <v>16</v>
      </c>
      <c r="I266" t="s">
        <v>96</v>
      </c>
      <c r="J266" t="s">
        <v>97</v>
      </c>
      <c r="K266" t="s">
        <v>430</v>
      </c>
      <c r="L266" t="str">
        <f>HYPERLINK("https://business-monitor.ch/de/companies/539338-fg-corp-swiss-ag?utm_source=oberaargau","PROFIL ANSEHEN")</f>
        <v>PROFIL ANSEHEN</v>
      </c>
    </row>
    <row r="267" spans="1:12" x14ac:dyDescent="0.2">
      <c r="A267" t="s">
        <v>11173</v>
      </c>
      <c r="B267" t="s">
        <v>11174</v>
      </c>
      <c r="C267" t="s">
        <v>202</v>
      </c>
      <c r="E267" t="s">
        <v>3701</v>
      </c>
      <c r="F267">
        <v>4914</v>
      </c>
      <c r="G267" t="s">
        <v>105</v>
      </c>
      <c r="H267" t="s">
        <v>16</v>
      </c>
      <c r="I267" t="s">
        <v>2062</v>
      </c>
      <c r="J267" t="s">
        <v>2063</v>
      </c>
      <c r="K267" t="s">
        <v>430</v>
      </c>
      <c r="L267" t="str">
        <f>HYPERLINK("https://business-monitor.ch/de/companies/1134632-d-a-gmbh?utm_source=oberaargau","PROFIL ANSEHEN")</f>
        <v>PROFIL ANSEHEN</v>
      </c>
    </row>
    <row r="268" spans="1:12" x14ac:dyDescent="0.2">
      <c r="A268" t="s">
        <v>7466</v>
      </c>
      <c r="B268" t="s">
        <v>7467</v>
      </c>
      <c r="C268" t="s">
        <v>13</v>
      </c>
      <c r="D268" t="s">
        <v>7468</v>
      </c>
      <c r="E268" t="s">
        <v>358</v>
      </c>
      <c r="F268">
        <v>4954</v>
      </c>
      <c r="G268" t="s">
        <v>359</v>
      </c>
      <c r="H268" t="s">
        <v>16</v>
      </c>
      <c r="I268" t="s">
        <v>304</v>
      </c>
      <c r="J268" t="s">
        <v>305</v>
      </c>
      <c r="K268" t="s">
        <v>430</v>
      </c>
      <c r="L268" t="str">
        <f>HYPERLINK("https://business-monitor.ch/de/companies/932731-cleverteam-ag?utm_source=oberaargau","PROFIL ANSEHEN")</f>
        <v>PROFIL ANSEHEN</v>
      </c>
    </row>
    <row r="269" spans="1:12" x14ac:dyDescent="0.2">
      <c r="A269" t="s">
        <v>886</v>
      </c>
      <c r="B269" t="s">
        <v>887</v>
      </c>
      <c r="C269" t="s">
        <v>13</v>
      </c>
      <c r="E269" t="s">
        <v>14367</v>
      </c>
      <c r="F269">
        <v>4938</v>
      </c>
      <c r="G269" t="s">
        <v>618</v>
      </c>
      <c r="H269" t="s">
        <v>16</v>
      </c>
      <c r="I269" t="s">
        <v>182</v>
      </c>
      <c r="J269" t="s">
        <v>183</v>
      </c>
      <c r="K269" t="s">
        <v>430</v>
      </c>
      <c r="L269" t="str">
        <f>HYPERLINK("https://business-monitor.ch/de/companies/419851-zaugg-finanz-ag?utm_source=oberaargau","PROFIL ANSEHEN")</f>
        <v>PROFIL ANSEHEN</v>
      </c>
    </row>
    <row r="270" spans="1:12" x14ac:dyDescent="0.2">
      <c r="A270" t="s">
        <v>948</v>
      </c>
      <c r="B270" t="s">
        <v>949</v>
      </c>
      <c r="C270" t="s">
        <v>13</v>
      </c>
      <c r="E270" t="s">
        <v>950</v>
      </c>
      <c r="F270">
        <v>4937</v>
      </c>
      <c r="G270" t="s">
        <v>951</v>
      </c>
      <c r="H270" t="s">
        <v>16</v>
      </c>
      <c r="I270" t="s">
        <v>331</v>
      </c>
      <c r="J270" t="s">
        <v>332</v>
      </c>
      <c r="K270" t="s">
        <v>430</v>
      </c>
      <c r="L270" t="str">
        <f>HYPERLINK("https://business-monitor.ch/de/companies/50260-mdc-max-daetwyler-ag-ursenbach?utm_source=oberaargau","PROFIL ANSEHEN")</f>
        <v>PROFIL ANSEHEN</v>
      </c>
    </row>
    <row r="271" spans="1:12" x14ac:dyDescent="0.2">
      <c r="A271" t="s">
        <v>12967</v>
      </c>
      <c r="B271" t="s">
        <v>12968</v>
      </c>
      <c r="C271" t="s">
        <v>13</v>
      </c>
      <c r="E271" t="s">
        <v>12969</v>
      </c>
      <c r="F271">
        <v>4922</v>
      </c>
      <c r="G271" t="s">
        <v>1318</v>
      </c>
      <c r="H271" t="s">
        <v>16</v>
      </c>
      <c r="I271" t="s">
        <v>298</v>
      </c>
      <c r="J271" t="s">
        <v>299</v>
      </c>
      <c r="K271" t="s">
        <v>430</v>
      </c>
      <c r="L271" t="str">
        <f>HYPERLINK("https://business-monitor.ch/de/companies/1241174-teileladen-ch-ag?utm_source=oberaargau","PROFIL ANSEHEN")</f>
        <v>PROFIL ANSEHEN</v>
      </c>
    </row>
    <row r="272" spans="1:12" x14ac:dyDescent="0.2">
      <c r="A272" t="s">
        <v>1791</v>
      </c>
      <c r="B272" t="s">
        <v>1792</v>
      </c>
      <c r="C272" t="s">
        <v>13</v>
      </c>
      <c r="E272" t="s">
        <v>1793</v>
      </c>
      <c r="F272">
        <v>4900</v>
      </c>
      <c r="G272" t="s">
        <v>41</v>
      </c>
      <c r="H272" t="s">
        <v>16</v>
      </c>
      <c r="I272" t="s">
        <v>1071</v>
      </c>
      <c r="J272" t="s">
        <v>1072</v>
      </c>
      <c r="K272" t="s">
        <v>430</v>
      </c>
      <c r="L272" t="str">
        <f>HYPERLINK("https://business-monitor.ch/de/companies/334737-lexa-wohnmobile-ag?utm_source=oberaargau","PROFIL ANSEHEN")</f>
        <v>PROFIL ANSEHEN</v>
      </c>
    </row>
    <row r="273" spans="1:12" x14ac:dyDescent="0.2">
      <c r="A273" t="s">
        <v>1177</v>
      </c>
      <c r="B273" t="s">
        <v>1178</v>
      </c>
      <c r="C273" t="s">
        <v>202</v>
      </c>
      <c r="E273" t="s">
        <v>1179</v>
      </c>
      <c r="F273">
        <v>4937</v>
      </c>
      <c r="G273" t="s">
        <v>951</v>
      </c>
      <c r="H273" t="s">
        <v>16</v>
      </c>
      <c r="I273" t="s">
        <v>781</v>
      </c>
      <c r="J273" t="s">
        <v>782</v>
      </c>
      <c r="K273" t="s">
        <v>430</v>
      </c>
      <c r="L273" t="str">
        <f>HYPERLINK("https://business-monitor.ch/de/companies/351258-daniel-graber-waermetechnik-gmbh?utm_source=oberaargau","PROFIL ANSEHEN")</f>
        <v>PROFIL ANSEHEN</v>
      </c>
    </row>
    <row r="274" spans="1:12" x14ac:dyDescent="0.2">
      <c r="A274" t="s">
        <v>1234</v>
      </c>
      <c r="B274" t="s">
        <v>1235</v>
      </c>
      <c r="C274" t="s">
        <v>202</v>
      </c>
      <c r="E274" t="s">
        <v>14368</v>
      </c>
      <c r="F274">
        <v>4943</v>
      </c>
      <c r="G274" t="s">
        <v>1022</v>
      </c>
      <c r="H274" t="s">
        <v>16</v>
      </c>
      <c r="I274" t="s">
        <v>1062</v>
      </c>
      <c r="J274" t="s">
        <v>1063</v>
      </c>
      <c r="K274" t="s">
        <v>430</v>
      </c>
      <c r="L274" t="str">
        <f>HYPERLINK("https://business-monitor.ch/de/companies/394982-appoloni-keramik-gmbh?utm_source=oberaargau","PROFIL ANSEHEN")</f>
        <v>PROFIL ANSEHEN</v>
      </c>
    </row>
    <row r="275" spans="1:12" x14ac:dyDescent="0.2">
      <c r="A275" t="s">
        <v>1414</v>
      </c>
      <c r="B275" t="s">
        <v>1415</v>
      </c>
      <c r="C275" t="s">
        <v>84</v>
      </c>
      <c r="E275" t="s">
        <v>1416</v>
      </c>
      <c r="F275">
        <v>4952</v>
      </c>
      <c r="G275" t="s">
        <v>474</v>
      </c>
      <c r="H275" t="s">
        <v>16</v>
      </c>
      <c r="I275" t="s">
        <v>340</v>
      </c>
      <c r="J275" t="s">
        <v>341</v>
      </c>
      <c r="K275" t="s">
        <v>430</v>
      </c>
      <c r="L275" t="str">
        <f>HYPERLINK("https://business-monitor.ch/de/companies/173708-landi-eriswil-genossenschaft?utm_source=oberaargau","PROFIL ANSEHEN")</f>
        <v>PROFIL ANSEHEN</v>
      </c>
    </row>
    <row r="276" spans="1:12" x14ac:dyDescent="0.2">
      <c r="A276" t="s">
        <v>1383</v>
      </c>
      <c r="B276" t="s">
        <v>1384</v>
      </c>
      <c r="C276" t="s">
        <v>13</v>
      </c>
      <c r="E276" t="s">
        <v>1385</v>
      </c>
      <c r="F276">
        <v>4537</v>
      </c>
      <c r="G276" t="s">
        <v>113</v>
      </c>
      <c r="H276" t="s">
        <v>16</v>
      </c>
      <c r="I276" t="s">
        <v>824</v>
      </c>
      <c r="J276" t="s">
        <v>825</v>
      </c>
      <c r="K276" t="s">
        <v>430</v>
      </c>
      <c r="L276" t="str">
        <f>HYPERLINK("https://business-monitor.ch/de/companies/92505-regast-ag?utm_source=oberaargau","PROFIL ANSEHEN")</f>
        <v>PROFIL ANSEHEN</v>
      </c>
    </row>
    <row r="277" spans="1:12" x14ac:dyDescent="0.2">
      <c r="A277" t="s">
        <v>1448</v>
      </c>
      <c r="B277" t="s">
        <v>1449</v>
      </c>
      <c r="C277" t="s">
        <v>13</v>
      </c>
      <c r="E277" t="s">
        <v>1450</v>
      </c>
      <c r="F277">
        <v>4950</v>
      </c>
      <c r="G277" t="s">
        <v>15</v>
      </c>
      <c r="H277" t="s">
        <v>16</v>
      </c>
      <c r="I277" t="s">
        <v>464</v>
      </c>
      <c r="J277" t="s">
        <v>465</v>
      </c>
      <c r="K277" t="s">
        <v>430</v>
      </c>
      <c r="L277" t="str">
        <f>HYPERLINK("https://business-monitor.ch/de/companies/400968-hans-mathys-ag?utm_source=oberaargau","PROFIL ANSEHEN")</f>
        <v>PROFIL ANSEHEN</v>
      </c>
    </row>
    <row r="278" spans="1:12" x14ac:dyDescent="0.2">
      <c r="A278" t="s">
        <v>516</v>
      </c>
      <c r="B278" t="s">
        <v>517</v>
      </c>
      <c r="C278" t="s">
        <v>13</v>
      </c>
      <c r="E278" t="s">
        <v>518</v>
      </c>
      <c r="F278">
        <v>3360</v>
      </c>
      <c r="G278" t="s">
        <v>35</v>
      </c>
      <c r="H278" t="s">
        <v>16</v>
      </c>
      <c r="I278" t="s">
        <v>519</v>
      </c>
      <c r="J278" t="s">
        <v>520</v>
      </c>
      <c r="K278" t="s">
        <v>430</v>
      </c>
      <c r="L278" t="str">
        <f>HYPERLINK("https://business-monitor.ch/de/companies/74848-ernst-ingold-co-ag?utm_source=oberaargau","PROFIL ANSEHEN")</f>
        <v>PROFIL ANSEHEN</v>
      </c>
    </row>
    <row r="279" spans="1:12" x14ac:dyDescent="0.2">
      <c r="A279" t="s">
        <v>1168</v>
      </c>
      <c r="B279" t="s">
        <v>1169</v>
      </c>
      <c r="C279" t="s">
        <v>202</v>
      </c>
      <c r="E279" t="s">
        <v>1170</v>
      </c>
      <c r="F279">
        <v>4900</v>
      </c>
      <c r="G279" t="s">
        <v>41</v>
      </c>
      <c r="H279" t="s">
        <v>16</v>
      </c>
      <c r="I279" t="s">
        <v>1171</v>
      </c>
      <c r="J279" t="s">
        <v>1172</v>
      </c>
      <c r="K279" t="s">
        <v>430</v>
      </c>
      <c r="L279" t="str">
        <f>HYPERLINK("https://business-monitor.ch/de/companies/54092-fair-job-gmbh?utm_source=oberaargau","PROFIL ANSEHEN")</f>
        <v>PROFIL ANSEHEN</v>
      </c>
    </row>
    <row r="280" spans="1:12" x14ac:dyDescent="0.2">
      <c r="A280" t="s">
        <v>711</v>
      </c>
      <c r="B280" t="s">
        <v>712</v>
      </c>
      <c r="C280" t="s">
        <v>13</v>
      </c>
      <c r="D280" t="s">
        <v>713</v>
      </c>
      <c r="E280" t="s">
        <v>714</v>
      </c>
      <c r="F280">
        <v>4900</v>
      </c>
      <c r="G280" t="s">
        <v>41</v>
      </c>
      <c r="H280" t="s">
        <v>16</v>
      </c>
      <c r="I280" t="s">
        <v>77</v>
      </c>
      <c r="J280" t="s">
        <v>78</v>
      </c>
      <c r="K280" t="s">
        <v>430</v>
      </c>
      <c r="L280" t="str">
        <f>HYPERLINK("https://business-monitor.ch/de/companies/947003-hector-egger-gesamtdienstleistung-ag?utm_source=oberaargau","PROFIL ANSEHEN")</f>
        <v>PROFIL ANSEHEN</v>
      </c>
    </row>
    <row r="281" spans="1:12" x14ac:dyDescent="0.2">
      <c r="A281" t="s">
        <v>11159</v>
      </c>
      <c r="B281" t="s">
        <v>11160</v>
      </c>
      <c r="C281" t="s">
        <v>202</v>
      </c>
      <c r="E281" t="s">
        <v>11161</v>
      </c>
      <c r="F281">
        <v>4914</v>
      </c>
      <c r="G281" t="s">
        <v>105</v>
      </c>
      <c r="H281" t="s">
        <v>16</v>
      </c>
      <c r="I281" t="s">
        <v>748</v>
      </c>
      <c r="J281" t="s">
        <v>749</v>
      </c>
      <c r="K281" t="s">
        <v>430</v>
      </c>
      <c r="L281" t="str">
        <f>HYPERLINK("https://business-monitor.ch/de/companies/1117803-rueegg-maler-und-gipser-gmbh?utm_source=oberaargau","PROFIL ANSEHEN")</f>
        <v>PROFIL ANSEHEN</v>
      </c>
    </row>
    <row r="282" spans="1:12" x14ac:dyDescent="0.2">
      <c r="A282" t="s">
        <v>1712</v>
      </c>
      <c r="B282" t="s">
        <v>1713</v>
      </c>
      <c r="C282" t="s">
        <v>84</v>
      </c>
      <c r="D282" t="s">
        <v>1714</v>
      </c>
      <c r="E282" t="s">
        <v>1715</v>
      </c>
      <c r="F282">
        <v>4937</v>
      </c>
      <c r="G282" t="s">
        <v>951</v>
      </c>
      <c r="H282" t="s">
        <v>16</v>
      </c>
      <c r="I282" t="s">
        <v>344</v>
      </c>
      <c r="J282" t="s">
        <v>345</v>
      </c>
      <c r="K282" t="s">
        <v>430</v>
      </c>
      <c r="L282" t="str">
        <f>HYPERLINK("https://business-monitor.ch/de/companies/92294-kaesereigenossenschaft-ursenbach?utm_source=oberaargau","PROFIL ANSEHEN")</f>
        <v>PROFIL ANSEHEN</v>
      </c>
    </row>
    <row r="283" spans="1:12" x14ac:dyDescent="0.2">
      <c r="A283" t="s">
        <v>521</v>
      </c>
      <c r="B283" t="s">
        <v>522</v>
      </c>
      <c r="C283" t="s">
        <v>13</v>
      </c>
      <c r="E283" t="s">
        <v>523</v>
      </c>
      <c r="F283">
        <v>4900</v>
      </c>
      <c r="G283" t="s">
        <v>41</v>
      </c>
      <c r="H283" t="s">
        <v>16</v>
      </c>
      <c r="I283" t="s">
        <v>524</v>
      </c>
      <c r="J283" t="s">
        <v>525</v>
      </c>
      <c r="K283" t="s">
        <v>430</v>
      </c>
      <c r="L283" t="str">
        <f>HYPERLINK("https://business-monitor.ch/de/companies/72212-schaerer-holz-ag?utm_source=oberaargau","PROFIL ANSEHEN")</f>
        <v>PROFIL ANSEHEN</v>
      </c>
    </row>
    <row r="284" spans="1:12" x14ac:dyDescent="0.2">
      <c r="A284" t="s">
        <v>1726</v>
      </c>
      <c r="B284" t="s">
        <v>1727</v>
      </c>
      <c r="C284" t="s">
        <v>13</v>
      </c>
      <c r="E284" t="s">
        <v>1728</v>
      </c>
      <c r="F284">
        <v>4900</v>
      </c>
      <c r="G284" t="s">
        <v>41</v>
      </c>
      <c r="H284" t="s">
        <v>16</v>
      </c>
      <c r="I284" t="s">
        <v>1291</v>
      </c>
      <c r="J284" t="s">
        <v>1292</v>
      </c>
      <c r="K284" t="s">
        <v>430</v>
      </c>
      <c r="L284" t="str">
        <f>HYPERLINK("https://business-monitor.ch/de/companies/412479-landolt-kanaltechnik-ag?utm_source=oberaargau","PROFIL ANSEHEN")</f>
        <v>PROFIL ANSEHEN</v>
      </c>
    </row>
    <row r="285" spans="1:12" x14ac:dyDescent="0.2">
      <c r="A285" t="s">
        <v>169</v>
      </c>
      <c r="B285" t="s">
        <v>170</v>
      </c>
      <c r="C285" t="s">
        <v>13</v>
      </c>
      <c r="E285" t="s">
        <v>171</v>
      </c>
      <c r="F285">
        <v>3360</v>
      </c>
      <c r="G285" t="s">
        <v>35</v>
      </c>
      <c r="H285" t="s">
        <v>16</v>
      </c>
      <c r="I285" t="s">
        <v>96</v>
      </c>
      <c r="J285" t="s">
        <v>97</v>
      </c>
      <c r="K285" t="s">
        <v>430</v>
      </c>
      <c r="L285" t="str">
        <f>HYPERLINK("https://business-monitor.ch/de/companies/689624-aquarena-sport-wellness-ag?utm_source=oberaargau","PROFIL ANSEHEN")</f>
        <v>PROFIL ANSEHEN</v>
      </c>
    </row>
    <row r="286" spans="1:12" x14ac:dyDescent="0.2">
      <c r="A286" t="s">
        <v>1441</v>
      </c>
      <c r="B286" t="s">
        <v>1442</v>
      </c>
      <c r="C286" t="s">
        <v>13</v>
      </c>
      <c r="E286" t="s">
        <v>40</v>
      </c>
      <c r="F286">
        <v>4900</v>
      </c>
      <c r="G286" t="s">
        <v>41</v>
      </c>
      <c r="H286" t="s">
        <v>16</v>
      </c>
      <c r="I286" t="s">
        <v>935</v>
      </c>
      <c r="J286" t="s">
        <v>936</v>
      </c>
      <c r="K286" t="s">
        <v>430</v>
      </c>
      <c r="L286" t="str">
        <f>HYPERLINK("https://business-monitor.ch/de/companies/1007735-baumann-immobilien-service-ag?utm_source=oberaargau","PROFIL ANSEHEN")</f>
        <v>PROFIL ANSEHEN</v>
      </c>
    </row>
    <row r="287" spans="1:12" x14ac:dyDescent="0.2">
      <c r="A287" t="s">
        <v>14369</v>
      </c>
      <c r="B287" t="s">
        <v>14370</v>
      </c>
      <c r="C287" t="s">
        <v>13</v>
      </c>
      <c r="E287" t="s">
        <v>370</v>
      </c>
      <c r="F287">
        <v>4704</v>
      </c>
      <c r="G287" t="s">
        <v>221</v>
      </c>
      <c r="H287" t="s">
        <v>16</v>
      </c>
      <c r="I287" t="s">
        <v>157</v>
      </c>
      <c r="J287" t="s">
        <v>158</v>
      </c>
      <c r="K287" t="s">
        <v>430</v>
      </c>
      <c r="L287" t="str">
        <f>HYPERLINK("https://business-monitor.ch/de/companies/88204-af-tissue-expert-switzerland-ag?utm_source=oberaargau","PROFIL ANSEHEN")</f>
        <v>PROFIL ANSEHEN</v>
      </c>
    </row>
    <row r="288" spans="1:12" x14ac:dyDescent="0.2">
      <c r="A288" t="s">
        <v>1694</v>
      </c>
      <c r="B288" t="s">
        <v>1695</v>
      </c>
      <c r="C288" t="s">
        <v>13</v>
      </c>
      <c r="E288" t="s">
        <v>1696</v>
      </c>
      <c r="F288">
        <v>4950</v>
      </c>
      <c r="G288" t="s">
        <v>15</v>
      </c>
      <c r="H288" t="s">
        <v>16</v>
      </c>
      <c r="I288" t="s">
        <v>935</v>
      </c>
      <c r="J288" t="s">
        <v>936</v>
      </c>
      <c r="K288" t="s">
        <v>430</v>
      </c>
      <c r="L288" t="str">
        <f>HYPERLINK("https://business-monitor.ch/de/companies/7260-ergonom-ag?utm_source=oberaargau","PROFIL ANSEHEN")</f>
        <v>PROFIL ANSEHEN</v>
      </c>
    </row>
    <row r="289" spans="1:12" x14ac:dyDescent="0.2">
      <c r="A289" t="s">
        <v>32</v>
      </c>
      <c r="B289" t="s">
        <v>33</v>
      </c>
      <c r="C289" t="s">
        <v>13</v>
      </c>
      <c r="E289" t="s">
        <v>34</v>
      </c>
      <c r="F289">
        <v>3360</v>
      </c>
      <c r="G289" t="s">
        <v>35</v>
      </c>
      <c r="H289" t="s">
        <v>16</v>
      </c>
      <c r="I289" t="s">
        <v>36</v>
      </c>
      <c r="J289" t="s">
        <v>37</v>
      </c>
      <c r="K289" t="s">
        <v>430</v>
      </c>
      <c r="L289" t="str">
        <f>HYPERLINK("https://business-monitor.ch/de/companies/140951-ufa-ag?utm_source=oberaargau","PROFIL ANSEHEN")</f>
        <v>PROFIL ANSEHEN</v>
      </c>
    </row>
    <row r="290" spans="1:12" x14ac:dyDescent="0.2">
      <c r="A290" t="s">
        <v>12073</v>
      </c>
      <c r="B290" t="s">
        <v>12074</v>
      </c>
      <c r="C290" t="s">
        <v>202</v>
      </c>
      <c r="E290" t="s">
        <v>248</v>
      </c>
      <c r="F290">
        <v>4900</v>
      </c>
      <c r="G290" t="s">
        <v>41</v>
      </c>
      <c r="H290" t="s">
        <v>16</v>
      </c>
      <c r="I290" t="s">
        <v>824</v>
      </c>
      <c r="J290" t="s">
        <v>825</v>
      </c>
      <c r="K290" t="s">
        <v>430</v>
      </c>
      <c r="L290" t="str">
        <f>HYPERLINK("https://business-monitor.ch/de/companies/1186607-thai-time-langenthal-gmbh?utm_source=oberaargau","PROFIL ANSEHEN")</f>
        <v>PROFIL ANSEHEN</v>
      </c>
    </row>
    <row r="291" spans="1:12" x14ac:dyDescent="0.2">
      <c r="A291" t="s">
        <v>12468</v>
      </c>
      <c r="B291" t="s">
        <v>12972</v>
      </c>
      <c r="C291" t="s">
        <v>13</v>
      </c>
      <c r="E291" t="s">
        <v>190</v>
      </c>
      <c r="F291">
        <v>4538</v>
      </c>
      <c r="G291" t="s">
        <v>71</v>
      </c>
      <c r="H291" t="s">
        <v>16</v>
      </c>
      <c r="I291" t="s">
        <v>191</v>
      </c>
      <c r="J291" t="s">
        <v>192</v>
      </c>
      <c r="K291" t="s">
        <v>430</v>
      </c>
      <c r="L291" t="str">
        <f>HYPERLINK("https://business-monitor.ch/de/companies/274754-serco-retail-ag?utm_source=oberaargau","PROFIL ANSEHEN")</f>
        <v>PROFIL ANSEHEN</v>
      </c>
    </row>
    <row r="292" spans="1:12" x14ac:dyDescent="0.2">
      <c r="A292" t="s">
        <v>504</v>
      </c>
      <c r="B292" t="s">
        <v>505</v>
      </c>
      <c r="C292" t="s">
        <v>13</v>
      </c>
      <c r="E292" t="s">
        <v>506</v>
      </c>
      <c r="F292">
        <v>4900</v>
      </c>
      <c r="G292" t="s">
        <v>41</v>
      </c>
      <c r="H292" t="s">
        <v>16</v>
      </c>
      <c r="I292" t="s">
        <v>507</v>
      </c>
      <c r="J292" t="s">
        <v>508</v>
      </c>
      <c r="K292" t="s">
        <v>430</v>
      </c>
      <c r="L292" t="str">
        <f>HYPERLINK("https://business-monitor.ch/de/companies/365514-carnosa-ag?utm_source=oberaargau","PROFIL ANSEHEN")</f>
        <v>PROFIL ANSEHEN</v>
      </c>
    </row>
    <row r="293" spans="1:12" x14ac:dyDescent="0.2">
      <c r="A293" t="s">
        <v>631</v>
      </c>
      <c r="B293" t="s">
        <v>632</v>
      </c>
      <c r="C293" t="s">
        <v>13</v>
      </c>
      <c r="E293" t="s">
        <v>12006</v>
      </c>
      <c r="F293">
        <v>4950</v>
      </c>
      <c r="G293" t="s">
        <v>15</v>
      </c>
      <c r="H293" t="s">
        <v>16</v>
      </c>
      <c r="I293" t="s">
        <v>167</v>
      </c>
      <c r="J293" t="s">
        <v>168</v>
      </c>
      <c r="K293" t="s">
        <v>430</v>
      </c>
      <c r="L293" t="str">
        <f>HYPERLINK("https://business-monitor.ch/de/companies/173793-truessel-ag?utm_source=oberaargau","PROFIL ANSEHEN")</f>
        <v>PROFIL ANSEHEN</v>
      </c>
    </row>
    <row r="294" spans="1:12" x14ac:dyDescent="0.2">
      <c r="A294" t="s">
        <v>817</v>
      </c>
      <c r="B294" t="s">
        <v>818</v>
      </c>
      <c r="C294" t="s">
        <v>13</v>
      </c>
      <c r="E294" t="s">
        <v>501</v>
      </c>
      <c r="F294">
        <v>4900</v>
      </c>
      <c r="G294" t="s">
        <v>41</v>
      </c>
      <c r="H294" t="s">
        <v>16</v>
      </c>
      <c r="I294" t="s">
        <v>157</v>
      </c>
      <c r="J294" t="s">
        <v>158</v>
      </c>
      <c r="K294" t="s">
        <v>430</v>
      </c>
      <c r="L294" t="str">
        <f>HYPERLINK("https://business-monitor.ch/de/companies/260736-sr-management-ag?utm_source=oberaargau","PROFIL ANSEHEN")</f>
        <v>PROFIL ANSEHEN</v>
      </c>
    </row>
    <row r="295" spans="1:12" x14ac:dyDescent="0.2">
      <c r="A295" t="s">
        <v>1768</v>
      </c>
      <c r="B295" t="s">
        <v>1769</v>
      </c>
      <c r="C295" t="s">
        <v>13</v>
      </c>
      <c r="E295" t="s">
        <v>1770</v>
      </c>
      <c r="F295">
        <v>4900</v>
      </c>
      <c r="G295" t="s">
        <v>41</v>
      </c>
      <c r="H295" t="s">
        <v>16</v>
      </c>
      <c r="I295" t="s">
        <v>72</v>
      </c>
      <c r="J295" t="s">
        <v>73</v>
      </c>
      <c r="K295" t="s">
        <v>430</v>
      </c>
      <c r="L295" t="str">
        <f>HYPERLINK("https://business-monitor.ch/de/companies/48188-creation-baumann-holding-ag?utm_source=oberaargau","PROFIL ANSEHEN")</f>
        <v>PROFIL ANSEHEN</v>
      </c>
    </row>
    <row r="296" spans="1:12" x14ac:dyDescent="0.2">
      <c r="A296" t="s">
        <v>1580</v>
      </c>
      <c r="B296" t="s">
        <v>1581</v>
      </c>
      <c r="C296" t="s">
        <v>13</v>
      </c>
      <c r="E296" t="s">
        <v>1156</v>
      </c>
      <c r="F296">
        <v>4900</v>
      </c>
      <c r="G296" t="s">
        <v>41</v>
      </c>
      <c r="H296" t="s">
        <v>16</v>
      </c>
      <c r="I296" t="s">
        <v>1528</v>
      </c>
      <c r="J296" t="s">
        <v>1529</v>
      </c>
      <c r="K296" t="s">
        <v>430</v>
      </c>
      <c r="L296" t="str">
        <f>HYPERLINK("https://business-monitor.ch/de/companies/489720-bracher-und-partner-recht-ag?utm_source=oberaargau","PROFIL ANSEHEN")</f>
        <v>PROFIL ANSEHEN</v>
      </c>
    </row>
    <row r="297" spans="1:12" x14ac:dyDescent="0.2">
      <c r="A297" t="s">
        <v>10292</v>
      </c>
      <c r="B297" t="s">
        <v>10293</v>
      </c>
      <c r="C297" t="s">
        <v>202</v>
      </c>
      <c r="E297" t="s">
        <v>10294</v>
      </c>
      <c r="F297">
        <v>4922</v>
      </c>
      <c r="G297" t="s">
        <v>1318</v>
      </c>
      <c r="H297" t="s">
        <v>16</v>
      </c>
      <c r="I297" t="s">
        <v>1993</v>
      </c>
      <c r="J297" t="s">
        <v>1994</v>
      </c>
      <c r="K297" t="s">
        <v>430</v>
      </c>
      <c r="L297" t="str">
        <f>HYPERLINK("https://business-monitor.ch/de/companies/571047-wagner-boss-gmbh?utm_source=oberaargau","PROFIL ANSEHEN")</f>
        <v>PROFIL ANSEHEN</v>
      </c>
    </row>
    <row r="298" spans="1:12" x14ac:dyDescent="0.2">
      <c r="A298" t="s">
        <v>1627</v>
      </c>
      <c r="B298" t="s">
        <v>1628</v>
      </c>
      <c r="C298" t="s">
        <v>13</v>
      </c>
      <c r="E298" t="s">
        <v>1629</v>
      </c>
      <c r="F298">
        <v>3368</v>
      </c>
      <c r="G298" t="s">
        <v>308</v>
      </c>
      <c r="H298" t="s">
        <v>16</v>
      </c>
      <c r="I298" t="s">
        <v>781</v>
      </c>
      <c r="J298" t="s">
        <v>782</v>
      </c>
      <c r="K298" t="s">
        <v>430</v>
      </c>
      <c r="L298" t="str">
        <f>HYPERLINK("https://business-monitor.ch/de/companies/573777-u-wyss-ag?utm_source=oberaargau","PROFIL ANSEHEN")</f>
        <v>PROFIL ANSEHEN</v>
      </c>
    </row>
    <row r="299" spans="1:12" x14ac:dyDescent="0.2">
      <c r="A299" t="s">
        <v>1120</v>
      </c>
      <c r="B299" t="s">
        <v>1121</v>
      </c>
      <c r="C299" t="s">
        <v>13</v>
      </c>
      <c r="E299" t="s">
        <v>1122</v>
      </c>
      <c r="F299">
        <v>4950</v>
      </c>
      <c r="G299" t="s">
        <v>15</v>
      </c>
      <c r="H299" t="s">
        <v>16</v>
      </c>
      <c r="I299" t="s">
        <v>1123</v>
      </c>
      <c r="J299" t="s">
        <v>1124</v>
      </c>
      <c r="K299" t="s">
        <v>430</v>
      </c>
      <c r="L299" t="str">
        <f>HYPERLINK("https://business-monitor.ch/de/companies/77-wollspinnerei-huttwil-ag?utm_source=oberaargau","PROFIL ANSEHEN")</f>
        <v>PROFIL ANSEHEN</v>
      </c>
    </row>
    <row r="300" spans="1:12" x14ac:dyDescent="0.2">
      <c r="A300" t="s">
        <v>12733</v>
      </c>
      <c r="B300" t="s">
        <v>12734</v>
      </c>
      <c r="C300" t="s">
        <v>13</v>
      </c>
      <c r="E300" t="s">
        <v>880</v>
      </c>
      <c r="F300">
        <v>3368</v>
      </c>
      <c r="G300" t="s">
        <v>308</v>
      </c>
      <c r="H300" t="s">
        <v>16</v>
      </c>
      <c r="I300" t="s">
        <v>12543</v>
      </c>
      <c r="J300" t="s">
        <v>12544</v>
      </c>
      <c r="K300" t="s">
        <v>430</v>
      </c>
      <c r="L300" t="str">
        <f>HYPERLINK("https://business-monitor.ch/de/companies/1226379-milan-flugzeugwerke-ag?utm_source=oberaargau","PROFIL ANSEHEN")</f>
        <v>PROFIL ANSEHEN</v>
      </c>
    </row>
    <row r="301" spans="1:12" x14ac:dyDescent="0.2">
      <c r="A301" t="s">
        <v>633</v>
      </c>
      <c r="B301" t="s">
        <v>634</v>
      </c>
      <c r="C301" t="s">
        <v>13</v>
      </c>
      <c r="D301" t="s">
        <v>635</v>
      </c>
      <c r="E301" t="s">
        <v>636</v>
      </c>
      <c r="F301">
        <v>4953</v>
      </c>
      <c r="G301" t="s">
        <v>416</v>
      </c>
      <c r="H301" t="s">
        <v>16</v>
      </c>
      <c r="I301" t="s">
        <v>619</v>
      </c>
      <c r="J301" t="s">
        <v>620</v>
      </c>
      <c r="K301" t="s">
        <v>430</v>
      </c>
      <c r="L301" t="str">
        <f>HYPERLINK("https://business-monitor.ch/de/companies/472014-renercon-huttwil-ag?utm_source=oberaargau","PROFIL ANSEHEN")</f>
        <v>PROFIL ANSEHEN</v>
      </c>
    </row>
    <row r="302" spans="1:12" x14ac:dyDescent="0.2">
      <c r="A302" t="s">
        <v>12735</v>
      </c>
      <c r="B302" t="s">
        <v>12736</v>
      </c>
      <c r="C302" t="s">
        <v>202</v>
      </c>
      <c r="E302" t="s">
        <v>1156</v>
      </c>
      <c r="F302">
        <v>4900</v>
      </c>
      <c r="G302" t="s">
        <v>41</v>
      </c>
      <c r="H302" t="s">
        <v>16</v>
      </c>
      <c r="I302" t="s">
        <v>2213</v>
      </c>
      <c r="J302" t="s">
        <v>2214</v>
      </c>
      <c r="K302" t="s">
        <v>430</v>
      </c>
      <c r="L302" t="str">
        <f>HYPERLINK("https://business-monitor.ch/de/companies/1223650-manola-gmbh?utm_source=oberaargau","PROFIL ANSEHEN")</f>
        <v>PROFIL ANSEHEN</v>
      </c>
    </row>
    <row r="303" spans="1:12" x14ac:dyDescent="0.2">
      <c r="A303" t="s">
        <v>1512</v>
      </c>
      <c r="B303" t="s">
        <v>1513</v>
      </c>
      <c r="C303" t="s">
        <v>13</v>
      </c>
      <c r="E303" t="s">
        <v>1514</v>
      </c>
      <c r="F303">
        <v>4900</v>
      </c>
      <c r="G303" t="s">
        <v>41</v>
      </c>
      <c r="H303" t="s">
        <v>16</v>
      </c>
      <c r="I303" t="s">
        <v>603</v>
      </c>
      <c r="J303" t="s">
        <v>604</v>
      </c>
      <c r="K303" t="s">
        <v>430</v>
      </c>
      <c r="L303" t="str">
        <f>HYPERLINK("https://business-monitor.ch/de/companies/170866-straub-sport-ag?utm_source=oberaargau","PROFIL ANSEHEN")</f>
        <v>PROFIL ANSEHEN</v>
      </c>
    </row>
    <row r="304" spans="1:12" x14ac:dyDescent="0.2">
      <c r="A304" t="s">
        <v>1782</v>
      </c>
      <c r="B304" t="s">
        <v>1783</v>
      </c>
      <c r="C304" t="s">
        <v>202</v>
      </c>
      <c r="E304" t="s">
        <v>1784</v>
      </c>
      <c r="F304">
        <v>4704</v>
      </c>
      <c r="G304" t="s">
        <v>221</v>
      </c>
      <c r="H304" t="s">
        <v>16</v>
      </c>
      <c r="I304" t="s">
        <v>331</v>
      </c>
      <c r="J304" t="s">
        <v>332</v>
      </c>
      <c r="K304" t="s">
        <v>430</v>
      </c>
      <c r="L304" t="str">
        <f>HYPERLINK("https://business-monitor.ch/de/companies/522276-dulco-gmbh?utm_source=oberaargau","PROFIL ANSEHEN")</f>
        <v>PROFIL ANSEHEN</v>
      </c>
    </row>
    <row r="305" spans="1:12" x14ac:dyDescent="0.2">
      <c r="A305" t="s">
        <v>1208</v>
      </c>
      <c r="B305" t="s">
        <v>12737</v>
      </c>
      <c r="C305" t="s">
        <v>13</v>
      </c>
      <c r="E305" t="s">
        <v>12738</v>
      </c>
      <c r="F305">
        <v>4938</v>
      </c>
      <c r="G305" t="s">
        <v>618</v>
      </c>
      <c r="H305" t="s">
        <v>16</v>
      </c>
      <c r="I305" t="s">
        <v>1210</v>
      </c>
      <c r="J305" t="s">
        <v>1211</v>
      </c>
      <c r="K305" t="s">
        <v>430</v>
      </c>
      <c r="L305" t="str">
        <f>HYPERLINK("https://business-monitor.ch/de/companies/30598-lanz-anliker-reitsport-ag?utm_source=oberaargau","PROFIL ANSEHEN")</f>
        <v>PROFIL ANSEHEN</v>
      </c>
    </row>
    <row r="306" spans="1:12" x14ac:dyDescent="0.2">
      <c r="A306" t="s">
        <v>1288</v>
      </c>
      <c r="B306" t="s">
        <v>1289</v>
      </c>
      <c r="C306" t="s">
        <v>13</v>
      </c>
      <c r="E306" t="s">
        <v>1290</v>
      </c>
      <c r="F306">
        <v>4912</v>
      </c>
      <c r="G306" t="s">
        <v>64</v>
      </c>
      <c r="H306" t="s">
        <v>16</v>
      </c>
      <c r="I306" t="s">
        <v>1291</v>
      </c>
      <c r="J306" t="s">
        <v>1292</v>
      </c>
      <c r="K306" t="s">
        <v>430</v>
      </c>
      <c r="L306" t="str">
        <f>HYPERLINK("https://business-monitor.ch/de/companies/33132-zala-ag?utm_source=oberaargau","PROFIL ANSEHEN")</f>
        <v>PROFIL ANSEHEN</v>
      </c>
    </row>
    <row r="307" spans="1:12" x14ac:dyDescent="0.2">
      <c r="A307" t="s">
        <v>10766</v>
      </c>
      <c r="B307" t="s">
        <v>10767</v>
      </c>
      <c r="C307" t="s">
        <v>202</v>
      </c>
      <c r="E307" t="s">
        <v>12304</v>
      </c>
      <c r="F307">
        <v>4900</v>
      </c>
      <c r="G307" t="s">
        <v>41</v>
      </c>
      <c r="H307" t="s">
        <v>16</v>
      </c>
      <c r="I307" t="s">
        <v>551</v>
      </c>
      <c r="J307" t="s">
        <v>552</v>
      </c>
      <c r="K307" t="s">
        <v>430</v>
      </c>
      <c r="L307" t="str">
        <f>HYPERLINK("https://business-monitor.ch/de/companies/1107649-vathius-gmbh?utm_source=oberaargau","PROFIL ANSEHEN")</f>
        <v>PROFIL ANSEHEN</v>
      </c>
    </row>
    <row r="308" spans="1:12" x14ac:dyDescent="0.2">
      <c r="A308" t="s">
        <v>664</v>
      </c>
      <c r="B308" t="s">
        <v>665</v>
      </c>
      <c r="C308" t="s">
        <v>13</v>
      </c>
      <c r="E308" t="s">
        <v>666</v>
      </c>
      <c r="F308">
        <v>3375</v>
      </c>
      <c r="G308" t="s">
        <v>667</v>
      </c>
      <c r="H308" t="s">
        <v>16</v>
      </c>
      <c r="I308" t="s">
        <v>668</v>
      </c>
      <c r="J308" t="s">
        <v>669</v>
      </c>
      <c r="K308" t="s">
        <v>430</v>
      </c>
      <c r="L308" t="str">
        <f>HYPERLINK("https://business-monitor.ch/de/companies/55036-wesa-ag?utm_source=oberaargau","PROFIL ANSEHEN")</f>
        <v>PROFIL ANSEHEN</v>
      </c>
    </row>
    <row r="309" spans="1:12" x14ac:dyDescent="0.2">
      <c r="A309" t="s">
        <v>82</v>
      </c>
      <c r="B309" t="s">
        <v>83</v>
      </c>
      <c r="C309" t="s">
        <v>84</v>
      </c>
      <c r="E309" t="s">
        <v>85</v>
      </c>
      <c r="F309">
        <v>3362</v>
      </c>
      <c r="G309" t="s">
        <v>47</v>
      </c>
      <c r="H309" t="s">
        <v>16</v>
      </c>
      <c r="I309" t="s">
        <v>86</v>
      </c>
      <c r="J309" t="s">
        <v>87</v>
      </c>
      <c r="K309" t="s">
        <v>430</v>
      </c>
      <c r="L309" t="str">
        <f>HYPERLINK("https://business-monitor.ch/de/companies/180260-beratungs-und-gesundheitsdienst-fuer-kleinwiederkaeuer-bgk-genossenschaft?utm_source=oberaargau","PROFIL ANSEHEN")</f>
        <v>PROFIL ANSEHEN</v>
      </c>
    </row>
    <row r="310" spans="1:12" x14ac:dyDescent="0.2">
      <c r="A310" t="s">
        <v>10888</v>
      </c>
      <c r="B310" t="s">
        <v>10889</v>
      </c>
      <c r="C310" t="s">
        <v>13</v>
      </c>
      <c r="E310" t="s">
        <v>1035</v>
      </c>
      <c r="F310">
        <v>4932</v>
      </c>
      <c r="G310" t="s">
        <v>325</v>
      </c>
      <c r="H310" t="s">
        <v>16</v>
      </c>
      <c r="I310" t="s">
        <v>182</v>
      </c>
      <c r="J310" t="s">
        <v>183</v>
      </c>
      <c r="K310" t="s">
        <v>430</v>
      </c>
      <c r="L310" t="str">
        <f>HYPERLINK("https://business-monitor.ch/de/companies/1104230-seppeler-holding-schweiz-ag?utm_source=oberaargau","PROFIL ANSEHEN")</f>
        <v>PROFIL ANSEHEN</v>
      </c>
    </row>
    <row r="311" spans="1:12" x14ac:dyDescent="0.2">
      <c r="A311" t="s">
        <v>1162</v>
      </c>
      <c r="B311" t="s">
        <v>1163</v>
      </c>
      <c r="C311" t="s">
        <v>202</v>
      </c>
      <c r="E311" t="s">
        <v>1164</v>
      </c>
      <c r="F311">
        <v>4537</v>
      </c>
      <c r="G311" t="s">
        <v>113</v>
      </c>
      <c r="H311" t="s">
        <v>16</v>
      </c>
      <c r="I311" t="s">
        <v>331</v>
      </c>
      <c r="J311" t="s">
        <v>332</v>
      </c>
      <c r="K311" t="s">
        <v>430</v>
      </c>
      <c r="L311" t="str">
        <f>HYPERLINK("https://business-monitor.ch/de/companies/212741-tomax-gmbh?utm_source=oberaargau","PROFIL ANSEHEN")</f>
        <v>PROFIL ANSEHEN</v>
      </c>
    </row>
    <row r="312" spans="1:12" x14ac:dyDescent="0.2">
      <c r="A312" t="s">
        <v>12983</v>
      </c>
      <c r="B312" t="s">
        <v>12984</v>
      </c>
      <c r="C312" t="s">
        <v>13</v>
      </c>
      <c r="E312" t="s">
        <v>12955</v>
      </c>
      <c r="F312">
        <v>4704</v>
      </c>
      <c r="G312" t="s">
        <v>221</v>
      </c>
      <c r="H312" t="s">
        <v>16</v>
      </c>
      <c r="I312" t="s">
        <v>955</v>
      </c>
      <c r="J312" t="s">
        <v>956</v>
      </c>
      <c r="K312" t="s">
        <v>430</v>
      </c>
      <c r="L312" t="str">
        <f>HYPERLINK("https://business-monitor.ch/de/companies/962692-prefa-schweiz-ag?utm_source=oberaargau","PROFIL ANSEHEN")</f>
        <v>PROFIL ANSEHEN</v>
      </c>
    </row>
    <row r="313" spans="1:12" x14ac:dyDescent="0.2">
      <c r="A313" t="s">
        <v>952</v>
      </c>
      <c r="B313" t="s">
        <v>953</v>
      </c>
      <c r="C313" t="s">
        <v>202</v>
      </c>
      <c r="E313" t="s">
        <v>954</v>
      </c>
      <c r="F313">
        <v>4950</v>
      </c>
      <c r="G313" t="s">
        <v>15</v>
      </c>
      <c r="H313" t="s">
        <v>16</v>
      </c>
      <c r="I313" t="s">
        <v>955</v>
      </c>
      <c r="J313" t="s">
        <v>956</v>
      </c>
      <c r="K313" t="s">
        <v>430</v>
      </c>
      <c r="L313" t="str">
        <f>HYPERLINK("https://business-monitor.ch/de/companies/152429-fator-gmbh?utm_source=oberaargau","PROFIL ANSEHEN")</f>
        <v>PROFIL ANSEHEN</v>
      </c>
    </row>
    <row r="314" spans="1:12" x14ac:dyDescent="0.2">
      <c r="A314" t="s">
        <v>13512</v>
      </c>
      <c r="B314" t="s">
        <v>13513</v>
      </c>
      <c r="C314" t="s">
        <v>13</v>
      </c>
      <c r="E314" t="s">
        <v>3352</v>
      </c>
      <c r="F314">
        <v>3380</v>
      </c>
      <c r="G314" t="s">
        <v>29</v>
      </c>
      <c r="H314" t="s">
        <v>16</v>
      </c>
      <c r="I314" t="s">
        <v>2496</v>
      </c>
      <c r="J314" t="s">
        <v>2497</v>
      </c>
      <c r="K314" t="s">
        <v>430</v>
      </c>
      <c r="L314" t="str">
        <f>HYPERLINK("https://business-monitor.ch/de/companies/133849-reist-haushaltapparate-ag?utm_source=oberaargau","PROFIL ANSEHEN")</f>
        <v>PROFIL ANSEHEN</v>
      </c>
    </row>
    <row r="315" spans="1:12" x14ac:dyDescent="0.2">
      <c r="A315" t="s">
        <v>1676</v>
      </c>
      <c r="B315" t="s">
        <v>1677</v>
      </c>
      <c r="C315" t="s">
        <v>13</v>
      </c>
      <c r="E315" t="s">
        <v>1552</v>
      </c>
      <c r="F315">
        <v>4704</v>
      </c>
      <c r="G315" t="s">
        <v>221</v>
      </c>
      <c r="H315" t="s">
        <v>16</v>
      </c>
      <c r="I315" t="s">
        <v>182</v>
      </c>
      <c r="J315" t="s">
        <v>183</v>
      </c>
      <c r="K315" t="s">
        <v>430</v>
      </c>
      <c r="L315" t="str">
        <f>HYPERLINK("https://business-monitor.ch/de/companies/662090-op-aqua-ag?utm_source=oberaargau","PROFIL ANSEHEN")</f>
        <v>PROFIL ANSEHEN</v>
      </c>
    </row>
    <row r="316" spans="1:12" x14ac:dyDescent="0.2">
      <c r="A316" t="s">
        <v>895</v>
      </c>
      <c r="B316" t="s">
        <v>896</v>
      </c>
      <c r="C316" t="s">
        <v>13</v>
      </c>
      <c r="E316" t="s">
        <v>897</v>
      </c>
      <c r="F316">
        <v>3380</v>
      </c>
      <c r="G316" t="s">
        <v>29</v>
      </c>
      <c r="H316" t="s">
        <v>16</v>
      </c>
      <c r="I316" t="s">
        <v>898</v>
      </c>
      <c r="J316" t="s">
        <v>899</v>
      </c>
      <c r="K316" t="s">
        <v>430</v>
      </c>
      <c r="L316" t="str">
        <f>HYPERLINK("https://business-monitor.ch/de/companies/140871-roth-cie-ag?utm_source=oberaargau","PROFIL ANSEHEN")</f>
        <v>PROFIL ANSEHEN</v>
      </c>
    </row>
    <row r="317" spans="1:12" x14ac:dyDescent="0.2">
      <c r="A317" t="s">
        <v>2399</v>
      </c>
      <c r="B317" t="s">
        <v>2400</v>
      </c>
      <c r="C317" t="s">
        <v>13</v>
      </c>
      <c r="E317" t="s">
        <v>2401</v>
      </c>
      <c r="F317">
        <v>4537</v>
      </c>
      <c r="G317" t="s">
        <v>113</v>
      </c>
      <c r="H317" t="s">
        <v>16</v>
      </c>
      <c r="I317" t="s">
        <v>157</v>
      </c>
      <c r="J317" t="s">
        <v>158</v>
      </c>
      <c r="K317" t="s">
        <v>430</v>
      </c>
      <c r="L317" t="str">
        <f>HYPERLINK("https://business-monitor.ch/de/companies/51863-trend-home-immobilien-ag?utm_source=oberaargau","PROFIL ANSEHEN")</f>
        <v>PROFIL ANSEHEN</v>
      </c>
    </row>
    <row r="318" spans="1:12" x14ac:dyDescent="0.2">
      <c r="A318" t="s">
        <v>605</v>
      </c>
      <c r="B318" t="s">
        <v>11166</v>
      </c>
      <c r="C318" t="s">
        <v>13</v>
      </c>
      <c r="D318" t="s">
        <v>10116</v>
      </c>
      <c r="E318" t="s">
        <v>607</v>
      </c>
      <c r="F318">
        <v>4950</v>
      </c>
      <c r="G318" t="s">
        <v>15</v>
      </c>
      <c r="H318" t="s">
        <v>16</v>
      </c>
      <c r="I318" t="s">
        <v>935</v>
      </c>
      <c r="J318" t="s">
        <v>936</v>
      </c>
      <c r="K318" t="s">
        <v>430</v>
      </c>
      <c r="L318" t="str">
        <f>HYPERLINK("https://business-monitor.ch/de/companies/173799-hp-lanz-immobilien-ag?utm_source=oberaargau","PROFIL ANSEHEN")</f>
        <v>PROFIL ANSEHEN</v>
      </c>
    </row>
    <row r="319" spans="1:12" x14ac:dyDescent="0.2">
      <c r="A319" t="s">
        <v>922</v>
      </c>
      <c r="B319" t="s">
        <v>923</v>
      </c>
      <c r="C319" t="s">
        <v>13</v>
      </c>
      <c r="E319" t="s">
        <v>924</v>
      </c>
      <c r="F319">
        <v>4950</v>
      </c>
      <c r="G319" t="s">
        <v>15</v>
      </c>
      <c r="H319" t="s">
        <v>16</v>
      </c>
      <c r="I319" t="s">
        <v>642</v>
      </c>
      <c r="J319" t="s">
        <v>643</v>
      </c>
      <c r="K319" t="s">
        <v>430</v>
      </c>
      <c r="L319" t="str">
        <f>HYPERLINK("https://business-monitor.ch/de/companies/173790-touring-garage-ag-huttwil?utm_source=oberaargau","PROFIL ANSEHEN")</f>
        <v>PROFIL ANSEHEN</v>
      </c>
    </row>
    <row r="320" spans="1:12" x14ac:dyDescent="0.2">
      <c r="A320" t="s">
        <v>9013</v>
      </c>
      <c r="B320" t="s">
        <v>9014</v>
      </c>
      <c r="C320" t="s">
        <v>13</v>
      </c>
      <c r="E320" t="s">
        <v>6928</v>
      </c>
      <c r="F320">
        <v>4900</v>
      </c>
      <c r="G320" t="s">
        <v>41</v>
      </c>
      <c r="H320" t="s">
        <v>16</v>
      </c>
      <c r="I320" t="s">
        <v>157</v>
      </c>
      <c r="J320" t="s">
        <v>158</v>
      </c>
      <c r="K320" t="s">
        <v>430</v>
      </c>
      <c r="L320" t="str">
        <f>HYPERLINK("https://business-monitor.ch/de/companies/228603-peter-kunz-bau-und-finanz-ag?utm_source=oberaargau","PROFIL ANSEHEN")</f>
        <v>PROFIL ANSEHEN</v>
      </c>
    </row>
    <row r="321" spans="1:12" x14ac:dyDescent="0.2">
      <c r="A321" t="s">
        <v>1254</v>
      </c>
      <c r="B321" t="s">
        <v>1255</v>
      </c>
      <c r="C321" t="s">
        <v>13</v>
      </c>
      <c r="E321" t="s">
        <v>1256</v>
      </c>
      <c r="F321">
        <v>3360</v>
      </c>
      <c r="G321" t="s">
        <v>35</v>
      </c>
      <c r="H321" t="s">
        <v>16</v>
      </c>
      <c r="I321" t="s">
        <v>492</v>
      </c>
      <c r="J321" t="s">
        <v>493</v>
      </c>
      <c r="K321" t="s">
        <v>430</v>
      </c>
      <c r="L321" t="str">
        <f>HYPERLINK("https://business-monitor.ch/de/companies/72297-stuco-ag-sicherheits-und-spezialschuhe?utm_source=oberaargau","PROFIL ANSEHEN")</f>
        <v>PROFIL ANSEHEN</v>
      </c>
    </row>
    <row r="322" spans="1:12" x14ac:dyDescent="0.2">
      <c r="A322" t="s">
        <v>3581</v>
      </c>
      <c r="B322" t="s">
        <v>3582</v>
      </c>
      <c r="C322" t="s">
        <v>13</v>
      </c>
      <c r="E322" t="s">
        <v>1834</v>
      </c>
      <c r="F322">
        <v>3360</v>
      </c>
      <c r="G322" t="s">
        <v>35</v>
      </c>
      <c r="H322" t="s">
        <v>16</v>
      </c>
      <c r="I322" t="s">
        <v>1535</v>
      </c>
      <c r="J322" t="s">
        <v>1536</v>
      </c>
      <c r="K322" t="s">
        <v>430</v>
      </c>
      <c r="L322" t="str">
        <f>HYPERLINK("https://business-monitor.ch/de/companies/107882-rolf-kunz-ag?utm_source=oberaargau","PROFIL ANSEHEN")</f>
        <v>PROFIL ANSEHEN</v>
      </c>
    </row>
    <row r="323" spans="1:12" x14ac:dyDescent="0.2">
      <c r="A323" t="s">
        <v>210</v>
      </c>
      <c r="B323" t="s">
        <v>211</v>
      </c>
      <c r="C323" t="s">
        <v>13</v>
      </c>
      <c r="E323" t="s">
        <v>212</v>
      </c>
      <c r="F323">
        <v>3380</v>
      </c>
      <c r="G323" t="s">
        <v>29</v>
      </c>
      <c r="H323" t="s">
        <v>16</v>
      </c>
      <c r="I323" t="s">
        <v>213</v>
      </c>
      <c r="J323" t="s">
        <v>214</v>
      </c>
      <c r="K323" t="s">
        <v>430</v>
      </c>
      <c r="L323" t="str">
        <f>HYPERLINK("https://business-monitor.ch/de/companies/257079-simatec-ag?utm_source=oberaargau","PROFIL ANSEHEN")</f>
        <v>PROFIL ANSEHEN</v>
      </c>
    </row>
    <row r="324" spans="1:12" x14ac:dyDescent="0.2">
      <c r="A324" t="s">
        <v>7091</v>
      </c>
      <c r="B324" t="s">
        <v>606</v>
      </c>
      <c r="C324" t="s">
        <v>13</v>
      </c>
      <c r="E324" t="s">
        <v>607</v>
      </c>
      <c r="F324">
        <v>4950</v>
      </c>
      <c r="G324" t="s">
        <v>15</v>
      </c>
      <c r="H324" t="s">
        <v>16</v>
      </c>
      <c r="I324" t="s">
        <v>608</v>
      </c>
      <c r="J324" t="s">
        <v>609</v>
      </c>
      <c r="K324" t="s">
        <v>430</v>
      </c>
      <c r="L324" t="str">
        <f>HYPERLINK("https://business-monitor.ch/de/companies/669756-hp-lanz-ag?utm_source=oberaargau","PROFIL ANSEHEN")</f>
        <v>PROFIL ANSEHEN</v>
      </c>
    </row>
    <row r="325" spans="1:12" x14ac:dyDescent="0.2">
      <c r="A325" t="s">
        <v>511</v>
      </c>
      <c r="B325" t="s">
        <v>512</v>
      </c>
      <c r="C325" t="s">
        <v>13</v>
      </c>
      <c r="E325" t="s">
        <v>513</v>
      </c>
      <c r="F325">
        <v>4900</v>
      </c>
      <c r="G325" t="s">
        <v>41</v>
      </c>
      <c r="H325" t="s">
        <v>16</v>
      </c>
      <c r="I325" t="s">
        <v>514</v>
      </c>
      <c r="J325" t="s">
        <v>515</v>
      </c>
      <c r="K325" t="s">
        <v>430</v>
      </c>
      <c r="L325" t="str">
        <f>HYPERLINK("https://business-monitor.ch/de/companies/197236-h-w-schaumann-ag?utm_source=oberaargau","PROFIL ANSEHEN")</f>
        <v>PROFIL ANSEHEN</v>
      </c>
    </row>
    <row r="326" spans="1:12" x14ac:dyDescent="0.2">
      <c r="A326" t="s">
        <v>968</v>
      </c>
      <c r="B326" t="s">
        <v>969</v>
      </c>
      <c r="C326" t="s">
        <v>13</v>
      </c>
      <c r="E326" t="s">
        <v>970</v>
      </c>
      <c r="F326">
        <v>4900</v>
      </c>
      <c r="G326" t="s">
        <v>41</v>
      </c>
      <c r="H326" t="s">
        <v>16</v>
      </c>
      <c r="I326" t="s">
        <v>134</v>
      </c>
      <c r="J326" t="s">
        <v>135</v>
      </c>
      <c r="K326" t="s">
        <v>430</v>
      </c>
      <c r="L326" t="str">
        <f>HYPERLINK("https://business-monitor.ch/de/companies/112095-elektro-w-siegrist-ag?utm_source=oberaargau","PROFIL ANSEHEN")</f>
        <v>PROFIL ANSEHEN</v>
      </c>
    </row>
    <row r="327" spans="1:12" x14ac:dyDescent="0.2">
      <c r="A327" t="s">
        <v>1173</v>
      </c>
      <c r="B327" t="s">
        <v>1174</v>
      </c>
      <c r="C327" t="s">
        <v>13</v>
      </c>
      <c r="E327" t="s">
        <v>1175</v>
      </c>
      <c r="F327">
        <v>4944</v>
      </c>
      <c r="G327" t="s">
        <v>1176</v>
      </c>
      <c r="H327" t="s">
        <v>16</v>
      </c>
      <c r="I327" t="s">
        <v>175</v>
      </c>
      <c r="J327" t="s">
        <v>176</v>
      </c>
      <c r="K327" t="s">
        <v>430</v>
      </c>
      <c r="L327" t="str">
        <f>HYPERLINK("https://business-monitor.ch/de/companies/74039-s-flueckiger-ag?utm_source=oberaargau","PROFIL ANSEHEN")</f>
        <v>PROFIL ANSEHEN</v>
      </c>
    </row>
    <row r="328" spans="1:12" x14ac:dyDescent="0.2">
      <c r="A328" t="s">
        <v>6812</v>
      </c>
      <c r="B328" t="s">
        <v>6813</v>
      </c>
      <c r="C328" t="s">
        <v>13</v>
      </c>
      <c r="E328" t="s">
        <v>6814</v>
      </c>
      <c r="F328">
        <v>4950</v>
      </c>
      <c r="G328" t="s">
        <v>15</v>
      </c>
      <c r="H328" t="s">
        <v>16</v>
      </c>
      <c r="I328" t="s">
        <v>6815</v>
      </c>
      <c r="J328" t="s">
        <v>6816</v>
      </c>
      <c r="K328" t="s">
        <v>430</v>
      </c>
      <c r="L328" t="str">
        <f>HYPERLINK("https://business-monitor.ch/de/companies/75399-textil-ag-huttwil?utm_source=oberaargau","PROFIL ANSEHEN")</f>
        <v>PROFIL ANSEHEN</v>
      </c>
    </row>
    <row r="329" spans="1:12" x14ac:dyDescent="0.2">
      <c r="A329" t="s">
        <v>544</v>
      </c>
      <c r="B329" t="s">
        <v>545</v>
      </c>
      <c r="C329" t="s">
        <v>13</v>
      </c>
      <c r="E329" t="s">
        <v>546</v>
      </c>
      <c r="F329">
        <v>4900</v>
      </c>
      <c r="G329" t="s">
        <v>41</v>
      </c>
      <c r="H329" t="s">
        <v>16</v>
      </c>
      <c r="I329" t="s">
        <v>72</v>
      </c>
      <c r="J329" t="s">
        <v>73</v>
      </c>
      <c r="K329" t="s">
        <v>430</v>
      </c>
      <c r="L329" t="str">
        <f>HYPERLINK("https://business-monitor.ch/de/companies/73078-merkur-druck-holding-ag?utm_source=oberaargau","PROFIL ANSEHEN")</f>
        <v>PROFIL ANSEHEN</v>
      </c>
    </row>
    <row r="330" spans="1:12" x14ac:dyDescent="0.2">
      <c r="A330" t="s">
        <v>1065</v>
      </c>
      <c r="B330" t="s">
        <v>1066</v>
      </c>
      <c r="C330" t="s">
        <v>13</v>
      </c>
      <c r="E330" t="s">
        <v>1067</v>
      </c>
      <c r="F330">
        <v>4950</v>
      </c>
      <c r="G330" t="s">
        <v>15</v>
      </c>
      <c r="H330" t="s">
        <v>16</v>
      </c>
      <c r="I330" t="s">
        <v>862</v>
      </c>
      <c r="J330" t="s">
        <v>863</v>
      </c>
      <c r="K330" t="s">
        <v>430</v>
      </c>
      <c r="L330" t="str">
        <f>HYPERLINK("https://business-monitor.ch/de/companies/75631-druckerei-schuerch-ag?utm_source=oberaargau","PROFIL ANSEHEN")</f>
        <v>PROFIL ANSEHEN</v>
      </c>
    </row>
    <row r="331" spans="1:12" x14ac:dyDescent="0.2">
      <c r="A331" t="s">
        <v>579</v>
      </c>
      <c r="B331" t="s">
        <v>580</v>
      </c>
      <c r="C331" t="s">
        <v>13</v>
      </c>
      <c r="E331" t="s">
        <v>581</v>
      </c>
      <c r="F331">
        <v>3360</v>
      </c>
      <c r="G331" t="s">
        <v>35</v>
      </c>
      <c r="H331" t="s">
        <v>16</v>
      </c>
      <c r="I331" t="s">
        <v>213</v>
      </c>
      <c r="J331" t="s">
        <v>214</v>
      </c>
      <c r="K331" t="s">
        <v>430</v>
      </c>
      <c r="L331" t="str">
        <f>HYPERLINK("https://business-monitor.ch/de/companies/97165-hsh-handling-systems-ag?utm_source=oberaargau","PROFIL ANSEHEN")</f>
        <v>PROFIL ANSEHEN</v>
      </c>
    </row>
    <row r="332" spans="1:12" x14ac:dyDescent="0.2">
      <c r="A332" t="s">
        <v>1499</v>
      </c>
      <c r="B332" t="s">
        <v>1500</v>
      </c>
      <c r="C332" t="s">
        <v>202</v>
      </c>
      <c r="D332" t="s">
        <v>713</v>
      </c>
      <c r="E332" t="s">
        <v>714</v>
      </c>
      <c r="F332">
        <v>4900</v>
      </c>
      <c r="G332" t="s">
        <v>41</v>
      </c>
      <c r="H332" t="s">
        <v>16</v>
      </c>
      <c r="I332" t="s">
        <v>24</v>
      </c>
      <c r="J332" t="s">
        <v>25</v>
      </c>
      <c r="K332" t="s">
        <v>430</v>
      </c>
      <c r="L332" t="str">
        <f>HYPERLINK("https://business-monitor.ch/de/companies/322066-contria-gmbh?utm_source=oberaargau","PROFIL ANSEHEN")</f>
        <v>PROFIL ANSEHEN</v>
      </c>
    </row>
    <row r="333" spans="1:12" x14ac:dyDescent="0.2">
      <c r="A333" t="s">
        <v>1269</v>
      </c>
      <c r="B333" t="s">
        <v>1270</v>
      </c>
      <c r="C333" t="s">
        <v>202</v>
      </c>
      <c r="E333" t="s">
        <v>220</v>
      </c>
      <c r="F333">
        <v>4704</v>
      </c>
      <c r="G333" t="s">
        <v>221</v>
      </c>
      <c r="H333" t="s">
        <v>16</v>
      </c>
      <c r="I333" t="s">
        <v>222</v>
      </c>
      <c r="J333" t="s">
        <v>223</v>
      </c>
      <c r="K333" t="s">
        <v>430</v>
      </c>
      <c r="L333" t="str">
        <f>HYPERLINK("https://business-monitor.ch/de/companies/470249-coop-vitality-health-care-gmbh?utm_source=oberaargau","PROFIL ANSEHEN")</f>
        <v>PROFIL ANSEHEN</v>
      </c>
    </row>
    <row r="334" spans="1:12" x14ac:dyDescent="0.2">
      <c r="A334" t="s">
        <v>1501</v>
      </c>
      <c r="B334" t="s">
        <v>1502</v>
      </c>
      <c r="C334" t="s">
        <v>13</v>
      </c>
      <c r="E334" t="s">
        <v>9012</v>
      </c>
      <c r="F334">
        <v>4900</v>
      </c>
      <c r="G334" t="s">
        <v>41</v>
      </c>
      <c r="H334" t="s">
        <v>16</v>
      </c>
      <c r="I334" t="s">
        <v>12475</v>
      </c>
      <c r="J334" t="s">
        <v>12476</v>
      </c>
      <c r="K334" t="s">
        <v>430</v>
      </c>
      <c r="L334" t="str">
        <f>HYPERLINK("https://business-monitor.ch/de/companies/1070325-noury-ag?utm_source=oberaargau","PROFIL ANSEHEN")</f>
        <v>PROFIL ANSEHEN</v>
      </c>
    </row>
    <row r="335" spans="1:12" x14ac:dyDescent="0.2">
      <c r="A335" t="s">
        <v>1574</v>
      </c>
      <c r="B335" t="s">
        <v>1575</v>
      </c>
      <c r="C335" t="s">
        <v>13</v>
      </c>
      <c r="E335" t="s">
        <v>1159</v>
      </c>
      <c r="F335">
        <v>3380</v>
      </c>
      <c r="G335" t="s">
        <v>29</v>
      </c>
      <c r="H335" t="s">
        <v>16</v>
      </c>
      <c r="I335" t="s">
        <v>1576</v>
      </c>
      <c r="J335" t="s">
        <v>1577</v>
      </c>
      <c r="K335" t="s">
        <v>430</v>
      </c>
      <c r="L335" t="str">
        <f>HYPERLINK("https://business-monitor.ch/de/companies/978976-roth-drogerie-ag?utm_source=oberaargau","PROFIL ANSEHEN")</f>
        <v>PROFIL ANSEHEN</v>
      </c>
    </row>
    <row r="336" spans="1:12" x14ac:dyDescent="0.2">
      <c r="A336" t="s">
        <v>1641</v>
      </c>
      <c r="B336" t="s">
        <v>1642</v>
      </c>
      <c r="C336" t="s">
        <v>13</v>
      </c>
      <c r="E336" t="s">
        <v>1643</v>
      </c>
      <c r="F336">
        <v>3380</v>
      </c>
      <c r="G336" t="s">
        <v>29</v>
      </c>
      <c r="H336" t="s">
        <v>16</v>
      </c>
      <c r="I336" t="s">
        <v>642</v>
      </c>
      <c r="J336" t="s">
        <v>643</v>
      </c>
      <c r="K336" t="s">
        <v>430</v>
      </c>
      <c r="L336" t="str">
        <f>HYPERLINK("https://business-monitor.ch/de/companies/118213-w-schaerer-bahnhof-garage-ag?utm_source=oberaargau","PROFIL ANSEHEN")</f>
        <v>PROFIL ANSEHEN</v>
      </c>
    </row>
    <row r="337" spans="1:12" x14ac:dyDescent="0.2">
      <c r="A337" t="s">
        <v>1460</v>
      </c>
      <c r="B337" t="s">
        <v>1461</v>
      </c>
      <c r="C337" t="s">
        <v>13</v>
      </c>
      <c r="E337" t="s">
        <v>947</v>
      </c>
      <c r="F337">
        <v>4900</v>
      </c>
      <c r="G337" t="s">
        <v>41</v>
      </c>
      <c r="H337" t="s">
        <v>16</v>
      </c>
      <c r="I337" t="s">
        <v>587</v>
      </c>
      <c r="J337" t="s">
        <v>588</v>
      </c>
      <c r="K337" t="s">
        <v>430</v>
      </c>
      <c r="L337" t="str">
        <f>HYPERLINK("https://business-monitor.ch/de/companies/199078-scheidegger-ag-bauingenieure-planer?utm_source=oberaargau","PROFIL ANSEHEN")</f>
        <v>PROFIL ANSEHEN</v>
      </c>
    </row>
    <row r="338" spans="1:12" x14ac:dyDescent="0.2">
      <c r="A338" t="s">
        <v>12560</v>
      </c>
      <c r="B338" t="s">
        <v>12561</v>
      </c>
      <c r="C338" t="s">
        <v>13</v>
      </c>
      <c r="E338" t="s">
        <v>12562</v>
      </c>
      <c r="F338">
        <v>4954</v>
      </c>
      <c r="G338" t="s">
        <v>359</v>
      </c>
      <c r="H338" t="s">
        <v>16</v>
      </c>
      <c r="I338" t="s">
        <v>433</v>
      </c>
      <c r="J338" t="s">
        <v>434</v>
      </c>
      <c r="K338" t="s">
        <v>430</v>
      </c>
      <c r="L338" t="str">
        <f>HYPERLINK("https://business-monitor.ch/de/companies/1205929-blue-art-roggegratbad-ag?utm_source=oberaargau","PROFIL ANSEHEN")</f>
        <v>PROFIL ANSEHEN</v>
      </c>
    </row>
    <row r="339" spans="1:12" x14ac:dyDescent="0.2">
      <c r="A339" t="s">
        <v>146</v>
      </c>
      <c r="B339" t="s">
        <v>147</v>
      </c>
      <c r="C339" t="s">
        <v>13</v>
      </c>
      <c r="E339" t="s">
        <v>148</v>
      </c>
      <c r="F339">
        <v>3360</v>
      </c>
      <c r="G339" t="s">
        <v>35</v>
      </c>
      <c r="H339" t="s">
        <v>16</v>
      </c>
      <c r="I339" t="s">
        <v>304</v>
      </c>
      <c r="J339" t="s">
        <v>305</v>
      </c>
      <c r="K339" t="s">
        <v>430</v>
      </c>
      <c r="L339" t="str">
        <f>HYPERLINK("https://business-monitor.ch/de/companies/124400-ewk-herzogenbuchsee-ag?utm_source=oberaargau","PROFIL ANSEHEN")</f>
        <v>PROFIL ANSEHEN</v>
      </c>
    </row>
    <row r="340" spans="1:12" x14ac:dyDescent="0.2">
      <c r="A340" t="s">
        <v>405</v>
      </c>
      <c r="B340" t="s">
        <v>406</v>
      </c>
      <c r="C340" t="s">
        <v>13</v>
      </c>
      <c r="E340" t="s">
        <v>407</v>
      </c>
      <c r="F340">
        <v>4538</v>
      </c>
      <c r="G340" t="s">
        <v>71</v>
      </c>
      <c r="H340" t="s">
        <v>16</v>
      </c>
      <c r="I340" t="s">
        <v>408</v>
      </c>
      <c r="J340" t="s">
        <v>409</v>
      </c>
      <c r="K340" t="s">
        <v>430</v>
      </c>
      <c r="L340" t="str">
        <f>HYPERLINK("https://business-monitor.ch/de/companies/98443-korff-ag?utm_source=oberaargau","PROFIL ANSEHEN")</f>
        <v>PROFIL ANSEHEN</v>
      </c>
    </row>
    <row r="341" spans="1:12" x14ac:dyDescent="0.2">
      <c r="A341" t="s">
        <v>461</v>
      </c>
      <c r="B341" t="s">
        <v>462</v>
      </c>
      <c r="C341" t="s">
        <v>13</v>
      </c>
      <c r="E341" t="s">
        <v>463</v>
      </c>
      <c r="F341">
        <v>4900</v>
      </c>
      <c r="G341" t="s">
        <v>41</v>
      </c>
      <c r="H341" t="s">
        <v>16</v>
      </c>
      <c r="I341" t="s">
        <v>464</v>
      </c>
      <c r="J341" t="s">
        <v>465</v>
      </c>
      <c r="K341" t="s">
        <v>430</v>
      </c>
      <c r="L341" t="str">
        <f>HYPERLINK("https://business-monitor.ch/de/companies/209343-niederhauser-transport-ag?utm_source=oberaargau","PROFIL ANSEHEN")</f>
        <v>PROFIL ANSEHEN</v>
      </c>
    </row>
    <row r="342" spans="1:12" x14ac:dyDescent="0.2">
      <c r="A342" t="s">
        <v>1797</v>
      </c>
      <c r="B342" t="s">
        <v>1798</v>
      </c>
      <c r="C342" t="s">
        <v>13</v>
      </c>
      <c r="E342" t="s">
        <v>1426</v>
      </c>
      <c r="F342">
        <v>4912</v>
      </c>
      <c r="G342" t="s">
        <v>64</v>
      </c>
      <c r="H342" t="s">
        <v>16</v>
      </c>
      <c r="I342" t="s">
        <v>157</v>
      </c>
      <c r="J342" t="s">
        <v>158</v>
      </c>
      <c r="K342" t="s">
        <v>430</v>
      </c>
      <c r="L342" t="str">
        <f>HYPERLINK("https://business-monitor.ch/de/companies/97224-rukop-ag?utm_source=oberaargau","PROFIL ANSEHEN")</f>
        <v>PROFIL ANSEHEN</v>
      </c>
    </row>
    <row r="343" spans="1:12" x14ac:dyDescent="0.2">
      <c r="A343" t="s">
        <v>4538</v>
      </c>
      <c r="B343" t="s">
        <v>4539</v>
      </c>
      <c r="C343" t="s">
        <v>202</v>
      </c>
      <c r="E343" t="s">
        <v>1413</v>
      </c>
      <c r="F343">
        <v>4704</v>
      </c>
      <c r="G343" t="s">
        <v>221</v>
      </c>
      <c r="H343" t="s">
        <v>16</v>
      </c>
      <c r="I343" t="s">
        <v>1324</v>
      </c>
      <c r="J343" t="s">
        <v>1325</v>
      </c>
      <c r="K343" t="s">
        <v>430</v>
      </c>
      <c r="L343" t="str">
        <f>HYPERLINK("https://business-monitor.ch/de/companies/672273-design-kuechen-gmbh?utm_source=oberaargau","PROFIL ANSEHEN")</f>
        <v>PROFIL ANSEHEN</v>
      </c>
    </row>
    <row r="344" spans="1:12" x14ac:dyDescent="0.2">
      <c r="A344" t="s">
        <v>1137</v>
      </c>
      <c r="B344" t="s">
        <v>8149</v>
      </c>
      <c r="C344" t="s">
        <v>13</v>
      </c>
      <c r="E344" t="s">
        <v>8150</v>
      </c>
      <c r="F344">
        <v>4538</v>
      </c>
      <c r="G344" t="s">
        <v>71</v>
      </c>
      <c r="H344" t="s">
        <v>16</v>
      </c>
      <c r="I344" t="s">
        <v>8151</v>
      </c>
      <c r="J344" t="s">
        <v>8152</v>
      </c>
      <c r="K344" t="s">
        <v>430</v>
      </c>
      <c r="L344" t="str">
        <f>HYPERLINK("https://business-monitor.ch/de/companies/181063-buerki-verpackungstechnik-ag?utm_source=oberaargau","PROFIL ANSEHEN")</f>
        <v>PROFIL ANSEHEN</v>
      </c>
    </row>
    <row r="345" spans="1:12" x14ac:dyDescent="0.2">
      <c r="A345" t="s">
        <v>1180</v>
      </c>
      <c r="B345" t="s">
        <v>1181</v>
      </c>
      <c r="C345" t="s">
        <v>13</v>
      </c>
      <c r="E345" t="s">
        <v>1182</v>
      </c>
      <c r="F345">
        <v>4900</v>
      </c>
      <c r="G345" t="s">
        <v>41</v>
      </c>
      <c r="H345" t="s">
        <v>16</v>
      </c>
      <c r="I345" t="s">
        <v>824</v>
      </c>
      <c r="J345" t="s">
        <v>825</v>
      </c>
      <c r="K345" t="s">
        <v>430</v>
      </c>
      <c r="L345" t="str">
        <f>HYPERLINK("https://business-monitor.ch/de/companies/1034890-hirschenbad-ag?utm_source=oberaargau","PROFIL ANSEHEN")</f>
        <v>PROFIL ANSEHEN</v>
      </c>
    </row>
    <row r="346" spans="1:12" x14ac:dyDescent="0.2">
      <c r="A346" t="s">
        <v>647</v>
      </c>
      <c r="B346" t="s">
        <v>648</v>
      </c>
      <c r="C346" t="s">
        <v>202</v>
      </c>
      <c r="E346" t="s">
        <v>649</v>
      </c>
      <c r="F346">
        <v>3360</v>
      </c>
      <c r="G346" t="s">
        <v>35</v>
      </c>
      <c r="H346" t="s">
        <v>16</v>
      </c>
      <c r="I346" t="s">
        <v>59</v>
      </c>
      <c r="J346" t="s">
        <v>60</v>
      </c>
      <c r="K346" t="s">
        <v>430</v>
      </c>
      <c r="L346" t="str">
        <f>HYPERLINK("https://business-monitor.ch/de/companies/78164-sonnebuxta-gmbh?utm_source=oberaargau","PROFIL ANSEHEN")</f>
        <v>PROFIL ANSEHEN</v>
      </c>
    </row>
    <row r="347" spans="1:12" x14ac:dyDescent="0.2">
      <c r="A347" t="s">
        <v>12198</v>
      </c>
      <c r="B347" t="s">
        <v>14371</v>
      </c>
      <c r="C347" t="s">
        <v>202</v>
      </c>
      <c r="E347" t="s">
        <v>12754</v>
      </c>
      <c r="F347">
        <v>4900</v>
      </c>
      <c r="G347" t="s">
        <v>41</v>
      </c>
      <c r="H347" t="s">
        <v>16</v>
      </c>
      <c r="I347" t="s">
        <v>433</v>
      </c>
      <c r="J347" t="s">
        <v>434</v>
      </c>
      <c r="K347" t="s">
        <v>430</v>
      </c>
      <c r="L347" t="str">
        <f>HYPERLINK("https://business-monitor.ch/de/companies/1188334-club49-gmbh?utm_source=oberaargau","PROFIL ANSEHEN")</f>
        <v>PROFIL ANSEHEN</v>
      </c>
    </row>
    <row r="348" spans="1:12" x14ac:dyDescent="0.2">
      <c r="A348" t="s">
        <v>1088</v>
      </c>
      <c r="B348" t="s">
        <v>1089</v>
      </c>
      <c r="C348" t="s">
        <v>13</v>
      </c>
      <c r="E348" t="s">
        <v>1090</v>
      </c>
      <c r="F348">
        <v>4954</v>
      </c>
      <c r="G348" t="s">
        <v>359</v>
      </c>
      <c r="H348" t="s">
        <v>16</v>
      </c>
      <c r="I348" t="s">
        <v>608</v>
      </c>
      <c r="J348" t="s">
        <v>609</v>
      </c>
      <c r="K348" t="s">
        <v>430</v>
      </c>
      <c r="L348" t="str">
        <f>HYPERLINK("https://business-monitor.ch/de/companies/3725-minder-ag-torbau?utm_source=oberaargau","PROFIL ANSEHEN")</f>
        <v>PROFIL ANSEHEN</v>
      </c>
    </row>
    <row r="349" spans="1:12" x14ac:dyDescent="0.2">
      <c r="A349" t="s">
        <v>1033</v>
      </c>
      <c r="B349" t="s">
        <v>1034</v>
      </c>
      <c r="C349" t="s">
        <v>13</v>
      </c>
      <c r="E349" t="s">
        <v>1035</v>
      </c>
      <c r="F349">
        <v>4932</v>
      </c>
      <c r="G349" t="s">
        <v>325</v>
      </c>
      <c r="H349" t="s">
        <v>16</v>
      </c>
      <c r="I349" t="s">
        <v>858</v>
      </c>
      <c r="J349" t="s">
        <v>859</v>
      </c>
      <c r="K349" t="s">
        <v>430</v>
      </c>
      <c r="L349" t="str">
        <f>HYPERLINK("https://business-monitor.ch/de/companies/73914-sdl-ag?utm_source=oberaargau","PROFIL ANSEHEN")</f>
        <v>PROFIL ANSEHEN</v>
      </c>
    </row>
    <row r="350" spans="1:12" x14ac:dyDescent="0.2">
      <c r="A350" t="s">
        <v>1068</v>
      </c>
      <c r="B350" t="s">
        <v>1069</v>
      </c>
      <c r="C350" t="s">
        <v>13</v>
      </c>
      <c r="E350" t="s">
        <v>683</v>
      </c>
      <c r="F350">
        <v>4955</v>
      </c>
      <c r="G350" t="s">
        <v>684</v>
      </c>
      <c r="H350" t="s">
        <v>16</v>
      </c>
      <c r="I350" t="s">
        <v>48</v>
      </c>
      <c r="J350" t="s">
        <v>49</v>
      </c>
      <c r="K350" t="s">
        <v>430</v>
      </c>
      <c r="L350" t="str">
        <f>HYPERLINK("https://business-monitor.ch/de/companies/947692-flueckiger-braunschweiler-saegereimaschinen-ag?utm_source=oberaargau","PROFIL ANSEHEN")</f>
        <v>PROFIL ANSEHEN</v>
      </c>
    </row>
    <row r="351" spans="1:12" x14ac:dyDescent="0.2">
      <c r="A351" t="s">
        <v>991</v>
      </c>
      <c r="B351" t="s">
        <v>992</v>
      </c>
      <c r="C351" t="s">
        <v>13</v>
      </c>
      <c r="E351" t="s">
        <v>993</v>
      </c>
      <c r="F351">
        <v>4704</v>
      </c>
      <c r="G351" t="s">
        <v>221</v>
      </c>
      <c r="H351" t="s">
        <v>16</v>
      </c>
      <c r="I351" t="s">
        <v>459</v>
      </c>
      <c r="J351" t="s">
        <v>460</v>
      </c>
      <c r="K351" t="s">
        <v>430</v>
      </c>
      <c r="L351" t="str">
        <f>HYPERLINK("https://business-monitor.ch/de/companies/32626-max-kneubuehler-geruestbau-ag?utm_source=oberaargau","PROFIL ANSEHEN")</f>
        <v>PROFIL ANSEHEN</v>
      </c>
    </row>
    <row r="352" spans="1:12" x14ac:dyDescent="0.2">
      <c r="A352" t="s">
        <v>1368</v>
      </c>
      <c r="B352" t="s">
        <v>1369</v>
      </c>
      <c r="C352" t="s">
        <v>13</v>
      </c>
      <c r="E352" t="s">
        <v>1370</v>
      </c>
      <c r="F352">
        <v>4912</v>
      </c>
      <c r="G352" t="s">
        <v>64</v>
      </c>
      <c r="H352" t="s">
        <v>16</v>
      </c>
      <c r="I352" t="s">
        <v>928</v>
      </c>
      <c r="J352" t="s">
        <v>929</v>
      </c>
      <c r="K352" t="s">
        <v>430</v>
      </c>
      <c r="L352" t="str">
        <f>HYPERLINK("https://business-monitor.ch/de/companies/345309-waelchli-feste-ag?utm_source=oberaargau","PROFIL ANSEHEN")</f>
        <v>PROFIL ANSEHEN</v>
      </c>
    </row>
    <row r="353" spans="1:12" x14ac:dyDescent="0.2">
      <c r="A353" t="s">
        <v>12469</v>
      </c>
      <c r="B353" t="s">
        <v>12470</v>
      </c>
      <c r="C353" t="s">
        <v>202</v>
      </c>
      <c r="E353" t="s">
        <v>2816</v>
      </c>
      <c r="F353">
        <v>4900</v>
      </c>
      <c r="G353" t="s">
        <v>41</v>
      </c>
      <c r="H353" t="s">
        <v>16</v>
      </c>
      <c r="I353" t="s">
        <v>182</v>
      </c>
      <c r="J353" t="s">
        <v>183</v>
      </c>
      <c r="K353" t="s">
        <v>430</v>
      </c>
      <c r="L353" t="str">
        <f>HYPERLINK("https://business-monitor.ch/de/companies/1074072-drilang-gmbh?utm_source=oberaargau","PROFIL ANSEHEN")</f>
        <v>PROFIL ANSEHEN</v>
      </c>
    </row>
    <row r="354" spans="1:12" x14ac:dyDescent="0.2">
      <c r="A354" t="s">
        <v>691</v>
      </c>
      <c r="B354" t="s">
        <v>692</v>
      </c>
      <c r="C354" t="s">
        <v>13</v>
      </c>
      <c r="E354" t="s">
        <v>14363</v>
      </c>
      <c r="F354">
        <v>3368</v>
      </c>
      <c r="G354" t="s">
        <v>308</v>
      </c>
      <c r="H354" t="s">
        <v>16</v>
      </c>
      <c r="I354" t="s">
        <v>693</v>
      </c>
      <c r="J354" t="s">
        <v>694</v>
      </c>
      <c r="K354" t="s">
        <v>430</v>
      </c>
      <c r="L354" t="str">
        <f>HYPERLINK("https://business-monitor.ch/de/companies/454916-daetwyler-swisstec-ag?utm_source=oberaargau","PROFIL ANSEHEN")</f>
        <v>PROFIL ANSEHEN</v>
      </c>
    </row>
    <row r="355" spans="1:12" x14ac:dyDescent="0.2">
      <c r="A355" t="s">
        <v>1443</v>
      </c>
      <c r="B355" t="s">
        <v>1444</v>
      </c>
      <c r="C355" t="s">
        <v>13</v>
      </c>
      <c r="E355" t="s">
        <v>1445</v>
      </c>
      <c r="F355">
        <v>4932</v>
      </c>
      <c r="G355" t="s">
        <v>325</v>
      </c>
      <c r="H355" t="s">
        <v>16</v>
      </c>
      <c r="I355" t="s">
        <v>1446</v>
      </c>
      <c r="J355" t="s">
        <v>1447</v>
      </c>
      <c r="K355" t="s">
        <v>430</v>
      </c>
      <c r="L355" t="str">
        <f>HYPERLINK("https://business-monitor.ch/de/companies/171559-fischer-kaeser-ag?utm_source=oberaargau","PROFIL ANSEHEN")</f>
        <v>PROFIL ANSEHEN</v>
      </c>
    </row>
    <row r="356" spans="1:12" x14ac:dyDescent="0.2">
      <c r="A356" t="s">
        <v>4041</v>
      </c>
      <c r="B356" t="s">
        <v>12245</v>
      </c>
      <c r="C356" t="s">
        <v>13</v>
      </c>
      <c r="E356" t="s">
        <v>12223</v>
      </c>
      <c r="F356">
        <v>4950</v>
      </c>
      <c r="G356" t="s">
        <v>15</v>
      </c>
      <c r="H356" t="s">
        <v>16</v>
      </c>
      <c r="I356" t="s">
        <v>560</v>
      </c>
      <c r="J356" t="s">
        <v>561</v>
      </c>
      <c r="K356" t="s">
        <v>430</v>
      </c>
      <c r="L356" t="str">
        <f>HYPERLINK("https://business-monitor.ch/de/companies/685999-espace-health-apotheken-ag?utm_source=oberaargau","PROFIL ANSEHEN")</f>
        <v>PROFIL ANSEHEN</v>
      </c>
    </row>
    <row r="357" spans="1:12" x14ac:dyDescent="0.2">
      <c r="A357" t="s">
        <v>12953</v>
      </c>
      <c r="B357" t="s">
        <v>12954</v>
      </c>
      <c r="C357" t="s">
        <v>13</v>
      </c>
      <c r="E357" t="s">
        <v>12955</v>
      </c>
      <c r="F357">
        <v>4704</v>
      </c>
      <c r="G357" t="s">
        <v>221</v>
      </c>
      <c r="H357" t="s">
        <v>16</v>
      </c>
      <c r="I357" t="s">
        <v>955</v>
      </c>
      <c r="J357" t="s">
        <v>956</v>
      </c>
      <c r="K357" t="s">
        <v>430</v>
      </c>
      <c r="L357" t="str">
        <f>HYPERLINK("https://business-monitor.ch/de/companies/386556-prefa-schweiz-vertriebs-ag?utm_source=oberaargau","PROFIL ANSEHEN")</f>
        <v>PROFIL ANSEHEN</v>
      </c>
    </row>
    <row r="358" spans="1:12" x14ac:dyDescent="0.2">
      <c r="A358" t="s">
        <v>860</v>
      </c>
      <c r="B358" t="s">
        <v>861</v>
      </c>
      <c r="C358" t="s">
        <v>13</v>
      </c>
      <c r="E358" t="s">
        <v>546</v>
      </c>
      <c r="F358">
        <v>4900</v>
      </c>
      <c r="G358" t="s">
        <v>41</v>
      </c>
      <c r="H358" t="s">
        <v>16</v>
      </c>
      <c r="I358" t="s">
        <v>862</v>
      </c>
      <c r="J358" t="s">
        <v>863</v>
      </c>
      <c r="K358" t="s">
        <v>430</v>
      </c>
      <c r="L358" t="str">
        <f>HYPERLINK("https://business-monitor.ch/de/companies/102747-merkur-zeitungsdruck-ag?utm_source=oberaargau","PROFIL ANSEHEN")</f>
        <v>PROFIL ANSEHEN</v>
      </c>
    </row>
    <row r="359" spans="1:12" x14ac:dyDescent="0.2">
      <c r="A359" t="s">
        <v>1113</v>
      </c>
      <c r="B359" t="s">
        <v>1114</v>
      </c>
      <c r="C359" t="s">
        <v>13</v>
      </c>
      <c r="E359" t="s">
        <v>1115</v>
      </c>
      <c r="F359">
        <v>4900</v>
      </c>
      <c r="G359" t="s">
        <v>41</v>
      </c>
      <c r="H359" t="s">
        <v>16</v>
      </c>
      <c r="I359" t="s">
        <v>1116</v>
      </c>
      <c r="J359" t="s">
        <v>1117</v>
      </c>
      <c r="K359" t="s">
        <v>430</v>
      </c>
      <c r="L359" t="str">
        <f>HYPERLINK("https://business-monitor.ch/de/companies/124232-anzeiger-oberaargau-ag?utm_source=oberaargau","PROFIL ANSEHEN")</f>
        <v>PROFIL ANSEHEN</v>
      </c>
    </row>
    <row r="360" spans="1:12" x14ac:dyDescent="0.2">
      <c r="A360" t="s">
        <v>1737</v>
      </c>
      <c r="B360" t="s">
        <v>1738</v>
      </c>
      <c r="C360" t="s">
        <v>13</v>
      </c>
      <c r="D360" t="s">
        <v>1739</v>
      </c>
      <c r="E360" t="s">
        <v>747</v>
      </c>
      <c r="F360">
        <v>4900</v>
      </c>
      <c r="G360" t="s">
        <v>41</v>
      </c>
      <c r="H360" t="s">
        <v>16</v>
      </c>
      <c r="I360" t="s">
        <v>1740</v>
      </c>
      <c r="J360" t="s">
        <v>1741</v>
      </c>
      <c r="K360" t="s">
        <v>430</v>
      </c>
      <c r="L360" t="str">
        <f>HYPERLINK("https://business-monitor.ch/de/companies/150608-ags-gebaeude-ag?utm_source=oberaargau","PROFIL ANSEHEN")</f>
        <v>PROFIL ANSEHEN</v>
      </c>
    </row>
    <row r="361" spans="1:12" x14ac:dyDescent="0.2">
      <c r="A361" t="s">
        <v>1651</v>
      </c>
      <c r="B361" t="s">
        <v>1652</v>
      </c>
      <c r="C361" t="s">
        <v>13</v>
      </c>
      <c r="E361" t="s">
        <v>1653</v>
      </c>
      <c r="F361">
        <v>4912</v>
      </c>
      <c r="G361" t="s">
        <v>64</v>
      </c>
      <c r="H361" t="s">
        <v>16</v>
      </c>
      <c r="I361" t="s">
        <v>640</v>
      </c>
      <c r="J361" t="s">
        <v>641</v>
      </c>
      <c r="K361" t="s">
        <v>430</v>
      </c>
      <c r="L361" t="str">
        <f>HYPERLINK("https://business-monitor.ch/de/companies/119840-zar-emmental-oberaargau-ag?utm_source=oberaargau","PROFIL ANSEHEN")</f>
        <v>PROFIL ANSEHEN</v>
      </c>
    </row>
    <row r="362" spans="1:12" x14ac:dyDescent="0.2">
      <c r="A362" t="s">
        <v>1048</v>
      </c>
      <c r="B362" t="s">
        <v>1049</v>
      </c>
      <c r="C362" t="s">
        <v>13</v>
      </c>
      <c r="E362" t="s">
        <v>756</v>
      </c>
      <c r="F362">
        <v>3360</v>
      </c>
      <c r="G362" t="s">
        <v>35</v>
      </c>
      <c r="H362" t="s">
        <v>16</v>
      </c>
      <c r="I362" t="s">
        <v>167</v>
      </c>
      <c r="J362" t="s">
        <v>168</v>
      </c>
      <c r="K362" t="s">
        <v>430</v>
      </c>
      <c r="L362" t="str">
        <f>HYPERLINK("https://business-monitor.ch/de/companies/135251-fritz-leuenberger-ag?utm_source=oberaargau","PROFIL ANSEHEN")</f>
        <v>PROFIL ANSEHEN</v>
      </c>
    </row>
    <row r="363" spans="1:12" x14ac:dyDescent="0.2">
      <c r="A363" t="s">
        <v>425</v>
      </c>
      <c r="B363" t="s">
        <v>426</v>
      </c>
      <c r="C363" t="s">
        <v>13</v>
      </c>
      <c r="E363" t="s">
        <v>427</v>
      </c>
      <c r="F363">
        <v>4900</v>
      </c>
      <c r="G363" t="s">
        <v>41</v>
      </c>
      <c r="H363" t="s">
        <v>16</v>
      </c>
      <c r="I363" t="s">
        <v>428</v>
      </c>
      <c r="J363" t="s">
        <v>429</v>
      </c>
      <c r="K363" t="s">
        <v>430</v>
      </c>
      <c r="L363" t="str">
        <f>HYPERLINK("https://business-monitor.ch/de/companies/170863-kuert-co-ag?utm_source=oberaargau","PROFIL ANSEHEN")</f>
        <v>PROFIL ANSEHEN</v>
      </c>
    </row>
    <row r="364" spans="1:12" x14ac:dyDescent="0.2">
      <c r="A364" t="s">
        <v>12242</v>
      </c>
      <c r="B364" t="s">
        <v>12243</v>
      </c>
      <c r="C364" t="s">
        <v>202</v>
      </c>
      <c r="E364" t="s">
        <v>12244</v>
      </c>
      <c r="F364">
        <v>4704</v>
      </c>
      <c r="G364" t="s">
        <v>221</v>
      </c>
      <c r="H364" t="s">
        <v>16</v>
      </c>
      <c r="I364" t="s">
        <v>2842</v>
      </c>
      <c r="J364" t="s">
        <v>2843</v>
      </c>
      <c r="K364" t="s">
        <v>430</v>
      </c>
      <c r="L364" t="str">
        <f>HYPERLINK("https://business-monitor.ch/de/companies/1045623-luescher-informatik-gmbh?utm_source=oberaargau","PROFIL ANSEHEN")</f>
        <v>PROFIL ANSEHEN</v>
      </c>
    </row>
    <row r="365" spans="1:12" x14ac:dyDescent="0.2">
      <c r="A365" t="s">
        <v>1530</v>
      </c>
      <c r="B365" t="s">
        <v>1531</v>
      </c>
      <c r="C365" t="s">
        <v>13</v>
      </c>
      <c r="E365" t="s">
        <v>1532</v>
      </c>
      <c r="F365">
        <v>4917</v>
      </c>
      <c r="G365" t="s">
        <v>376</v>
      </c>
      <c r="H365" t="s">
        <v>16</v>
      </c>
      <c r="I365" t="s">
        <v>570</v>
      </c>
      <c r="J365" t="s">
        <v>571</v>
      </c>
      <c r="K365" t="s">
        <v>430</v>
      </c>
      <c r="L365" t="str">
        <f>HYPERLINK("https://business-monitor.ch/de/companies/170725-roth-installations-ag?utm_source=oberaargau","PROFIL ANSEHEN")</f>
        <v>PROFIL ANSEHEN</v>
      </c>
    </row>
    <row r="366" spans="1:12" x14ac:dyDescent="0.2">
      <c r="A366" t="s">
        <v>8446</v>
      </c>
      <c r="B366" t="s">
        <v>8447</v>
      </c>
      <c r="C366" t="s">
        <v>13</v>
      </c>
      <c r="E366" t="s">
        <v>14372</v>
      </c>
      <c r="F366">
        <v>4942</v>
      </c>
      <c r="G366" t="s">
        <v>1287</v>
      </c>
      <c r="H366" t="s">
        <v>16</v>
      </c>
      <c r="I366" t="s">
        <v>6550</v>
      </c>
      <c r="J366" t="s">
        <v>6551</v>
      </c>
      <c r="K366" t="s">
        <v>430</v>
      </c>
      <c r="L366" t="str">
        <f>HYPERLINK("https://business-monitor.ch/de/companies/175201-bruno-kaeser-ag?utm_source=oberaargau","PROFIL ANSEHEN")</f>
        <v>PROFIL ANSEHEN</v>
      </c>
    </row>
    <row r="367" spans="1:12" x14ac:dyDescent="0.2">
      <c r="A367" t="s">
        <v>1036</v>
      </c>
      <c r="B367" t="s">
        <v>1037</v>
      </c>
      <c r="C367" t="s">
        <v>13</v>
      </c>
      <c r="E367" t="s">
        <v>1038</v>
      </c>
      <c r="F367">
        <v>4912</v>
      </c>
      <c r="G367" t="s">
        <v>64</v>
      </c>
      <c r="H367" t="s">
        <v>16</v>
      </c>
      <c r="I367" t="s">
        <v>1039</v>
      </c>
      <c r="J367" t="s">
        <v>1040</v>
      </c>
      <c r="K367" t="s">
        <v>430</v>
      </c>
      <c r="L367" t="str">
        <f>HYPERLINK("https://business-monitor.ch/de/companies/367097-langatun-distillery-ag?utm_source=oberaargau","PROFIL ANSEHEN")</f>
        <v>PROFIL ANSEHEN</v>
      </c>
    </row>
    <row r="368" spans="1:12" x14ac:dyDescent="0.2">
      <c r="A368" t="s">
        <v>1436</v>
      </c>
      <c r="B368" t="s">
        <v>1437</v>
      </c>
      <c r="C368" t="s">
        <v>13</v>
      </c>
      <c r="F368">
        <v>3367</v>
      </c>
      <c r="G368" t="s">
        <v>455</v>
      </c>
      <c r="H368" t="s">
        <v>16</v>
      </c>
      <c r="I368" t="s">
        <v>642</v>
      </c>
      <c r="J368" t="s">
        <v>643</v>
      </c>
      <c r="K368" t="s">
        <v>430</v>
      </c>
      <c r="L368" t="str">
        <f>HYPERLINK("https://business-monitor.ch/de/companies/173903-w-schaerer-schlossgarage-ag?utm_source=oberaargau","PROFIL ANSEHEN")</f>
        <v>PROFIL ANSEHEN</v>
      </c>
    </row>
    <row r="369" spans="1:12" x14ac:dyDescent="0.2">
      <c r="A369" t="s">
        <v>440</v>
      </c>
      <c r="B369" t="s">
        <v>441</v>
      </c>
      <c r="C369" t="s">
        <v>13</v>
      </c>
      <c r="E369" t="s">
        <v>442</v>
      </c>
      <c r="F369">
        <v>4935</v>
      </c>
      <c r="G369" t="s">
        <v>443</v>
      </c>
      <c r="H369" t="s">
        <v>16</v>
      </c>
      <c r="I369" t="s">
        <v>403</v>
      </c>
      <c r="J369" t="s">
        <v>404</v>
      </c>
      <c r="K369" t="s">
        <v>430</v>
      </c>
      <c r="L369" t="str">
        <f>HYPERLINK("https://business-monitor.ch/de/companies/198108-luethi-aufzuege-ag?utm_source=oberaargau","PROFIL ANSEHEN")</f>
        <v>PROFIL ANSEHEN</v>
      </c>
    </row>
    <row r="370" spans="1:12" x14ac:dyDescent="0.2">
      <c r="A370" t="s">
        <v>1615</v>
      </c>
      <c r="B370" t="s">
        <v>1616</v>
      </c>
      <c r="C370" t="s">
        <v>13</v>
      </c>
      <c r="E370" t="s">
        <v>1617</v>
      </c>
      <c r="F370">
        <v>4912</v>
      </c>
      <c r="G370" t="s">
        <v>64</v>
      </c>
      <c r="H370" t="s">
        <v>16</v>
      </c>
      <c r="I370" t="s">
        <v>608</v>
      </c>
      <c r="J370" t="s">
        <v>609</v>
      </c>
      <c r="K370" t="s">
        <v>430</v>
      </c>
      <c r="L370" t="str">
        <f>HYPERLINK("https://business-monitor.ch/de/companies/240437-saegesser-fenster-ag?utm_source=oberaargau","PROFIL ANSEHEN")</f>
        <v>PROFIL ANSEHEN</v>
      </c>
    </row>
    <row r="371" spans="1:12" x14ac:dyDescent="0.2">
      <c r="A371" t="s">
        <v>1706</v>
      </c>
      <c r="B371" t="s">
        <v>1707</v>
      </c>
      <c r="C371" t="s">
        <v>13</v>
      </c>
      <c r="E371" t="s">
        <v>1708</v>
      </c>
      <c r="F371">
        <v>4539</v>
      </c>
      <c r="G371" t="s">
        <v>1134</v>
      </c>
      <c r="H371" t="s">
        <v>16</v>
      </c>
      <c r="I371" t="s">
        <v>1062</v>
      </c>
      <c r="J371" t="s">
        <v>1063</v>
      </c>
      <c r="K371" t="s">
        <v>430</v>
      </c>
      <c r="L371" t="str">
        <f>HYPERLINK("https://business-monitor.ch/de/companies/242904-anderegg-keramik-ag?utm_source=oberaargau","PROFIL ANSEHEN")</f>
        <v>PROFIL ANSEHEN</v>
      </c>
    </row>
    <row r="372" spans="1:12" x14ac:dyDescent="0.2">
      <c r="A372" t="s">
        <v>1205</v>
      </c>
      <c r="B372" t="s">
        <v>1206</v>
      </c>
      <c r="C372" t="s">
        <v>13</v>
      </c>
      <c r="E372" t="s">
        <v>1207</v>
      </c>
      <c r="F372">
        <v>4704</v>
      </c>
      <c r="G372" t="s">
        <v>221</v>
      </c>
      <c r="H372" t="s">
        <v>16</v>
      </c>
      <c r="I372" t="s">
        <v>642</v>
      </c>
      <c r="J372" t="s">
        <v>643</v>
      </c>
      <c r="K372" t="s">
        <v>430</v>
      </c>
      <c r="L372" t="str">
        <f>HYPERLINK("https://business-monitor.ch/de/companies/339607-autocenter-burkhard-ag-niederbipp?utm_source=oberaargau","PROFIL ANSEHEN")</f>
        <v>PROFIL ANSEHEN</v>
      </c>
    </row>
    <row r="373" spans="1:12" x14ac:dyDescent="0.2">
      <c r="A373" t="s">
        <v>891</v>
      </c>
      <c r="B373" t="s">
        <v>892</v>
      </c>
      <c r="C373" t="s">
        <v>13</v>
      </c>
      <c r="E373" t="s">
        <v>893</v>
      </c>
      <c r="F373">
        <v>3374</v>
      </c>
      <c r="G373" t="s">
        <v>894</v>
      </c>
      <c r="H373" t="s">
        <v>16</v>
      </c>
      <c r="I373" t="s">
        <v>624</v>
      </c>
      <c r="J373" t="s">
        <v>625</v>
      </c>
      <c r="K373" t="s">
        <v>430</v>
      </c>
      <c r="L373" t="str">
        <f>HYPERLINK("https://business-monitor.ch/de/companies/140888-rikli-ag?utm_source=oberaargau","PROFIL ANSEHEN")</f>
        <v>PROFIL ANSEHEN</v>
      </c>
    </row>
    <row r="374" spans="1:12" x14ac:dyDescent="0.2">
      <c r="A374" t="s">
        <v>610</v>
      </c>
      <c r="B374" t="s">
        <v>611</v>
      </c>
      <c r="C374" t="s">
        <v>202</v>
      </c>
      <c r="E374" t="s">
        <v>1495</v>
      </c>
      <c r="F374">
        <v>4950</v>
      </c>
      <c r="G374" t="s">
        <v>15</v>
      </c>
      <c r="H374" t="s">
        <v>16</v>
      </c>
      <c r="I374" t="s">
        <v>1633</v>
      </c>
      <c r="J374" t="s">
        <v>1634</v>
      </c>
      <c r="K374" t="s">
        <v>430</v>
      </c>
      <c r="L374" t="str">
        <f>HYPERLINK("https://business-monitor.ch/de/companies/970801-biketec-gmbh?utm_source=oberaargau","PROFIL ANSEHEN")</f>
        <v>PROFIL ANSEHEN</v>
      </c>
    </row>
    <row r="375" spans="1:12" x14ac:dyDescent="0.2">
      <c r="A375" t="s">
        <v>1276</v>
      </c>
      <c r="B375" t="s">
        <v>1277</v>
      </c>
      <c r="C375" t="s">
        <v>13</v>
      </c>
      <c r="E375" t="s">
        <v>7291</v>
      </c>
      <c r="F375">
        <v>4950</v>
      </c>
      <c r="G375" t="s">
        <v>15</v>
      </c>
      <c r="H375" t="s">
        <v>16</v>
      </c>
      <c r="I375" t="s">
        <v>1278</v>
      </c>
      <c r="J375" t="s">
        <v>1279</v>
      </c>
      <c r="K375" t="s">
        <v>430</v>
      </c>
      <c r="L375" t="str">
        <f>HYPERLINK("https://business-monitor.ch/de/companies/177819-greub-schlosserei-ag?utm_source=oberaargau","PROFIL ANSEHEN")</f>
        <v>PROFIL ANSEHEN</v>
      </c>
    </row>
    <row r="376" spans="1:12" x14ac:dyDescent="0.2">
      <c r="A376" t="s">
        <v>1753</v>
      </c>
      <c r="B376" t="s">
        <v>1754</v>
      </c>
      <c r="C376" t="s">
        <v>84</v>
      </c>
      <c r="E376" t="s">
        <v>1755</v>
      </c>
      <c r="F376">
        <v>3365</v>
      </c>
      <c r="G376" t="s">
        <v>1008</v>
      </c>
      <c r="H376" t="s">
        <v>16</v>
      </c>
      <c r="I376" t="s">
        <v>514</v>
      </c>
      <c r="J376" t="s">
        <v>515</v>
      </c>
      <c r="K376" t="s">
        <v>430</v>
      </c>
      <c r="L376" t="str">
        <f>HYPERLINK("https://business-monitor.ch/de/companies/218027-saatgut-betrieb-grasswil-genossenschaft?utm_source=oberaargau","PROFIL ANSEHEN")</f>
        <v>PROFIL ANSEHEN</v>
      </c>
    </row>
    <row r="377" spans="1:12" x14ac:dyDescent="0.2">
      <c r="A377" t="s">
        <v>1718</v>
      </c>
      <c r="B377" t="s">
        <v>1719</v>
      </c>
      <c r="C377" t="s">
        <v>202</v>
      </c>
      <c r="E377" t="s">
        <v>1720</v>
      </c>
      <c r="F377">
        <v>4538</v>
      </c>
      <c r="G377" t="s">
        <v>71</v>
      </c>
      <c r="H377" t="s">
        <v>16</v>
      </c>
      <c r="I377" t="s">
        <v>1721</v>
      </c>
      <c r="J377" t="s">
        <v>1722</v>
      </c>
      <c r="K377" t="s">
        <v>430</v>
      </c>
      <c r="L377" t="str">
        <f>HYPERLINK("https://business-monitor.ch/de/companies/406863-dindan-solutions-gmbh?utm_source=oberaargau","PROFIL ANSEHEN")</f>
        <v>PROFIL ANSEHEN</v>
      </c>
    </row>
    <row r="378" spans="1:12" x14ac:dyDescent="0.2">
      <c r="A378" t="s">
        <v>1250</v>
      </c>
      <c r="B378" t="s">
        <v>1251</v>
      </c>
      <c r="C378" t="s">
        <v>13</v>
      </c>
      <c r="D378" t="s">
        <v>1252</v>
      </c>
      <c r="E378" t="s">
        <v>1253</v>
      </c>
      <c r="F378">
        <v>4922</v>
      </c>
      <c r="G378" t="s">
        <v>99</v>
      </c>
      <c r="H378" t="s">
        <v>16</v>
      </c>
      <c r="I378" t="s">
        <v>254</v>
      </c>
      <c r="J378" t="s">
        <v>255</v>
      </c>
      <c r="K378" t="s">
        <v>430</v>
      </c>
      <c r="L378" t="str">
        <f>HYPERLINK("https://business-monitor.ch/de/companies/676811-tb-netz-ag?utm_source=oberaargau","PROFIL ANSEHEN")</f>
        <v>PROFIL ANSEHEN</v>
      </c>
    </row>
    <row r="379" spans="1:12" x14ac:dyDescent="0.2">
      <c r="A379" t="s">
        <v>56</v>
      </c>
      <c r="B379" t="s">
        <v>57</v>
      </c>
      <c r="C379" t="s">
        <v>13</v>
      </c>
      <c r="E379" t="s">
        <v>58</v>
      </c>
      <c r="F379">
        <v>4900</v>
      </c>
      <c r="G379" t="s">
        <v>41</v>
      </c>
      <c r="H379" t="s">
        <v>16</v>
      </c>
      <c r="I379" t="s">
        <v>59</v>
      </c>
      <c r="J379" t="s">
        <v>60</v>
      </c>
      <c r="K379" t="s">
        <v>430</v>
      </c>
      <c r="L379" t="str">
        <f>HYPERLINK("https://business-monitor.ch/de/companies/36558-aktiengesellschaft-baeren-langenthal?utm_source=oberaargau","PROFIL ANSEHEN")</f>
        <v>PROFIL ANSEHEN</v>
      </c>
    </row>
    <row r="380" spans="1:12" x14ac:dyDescent="0.2">
      <c r="A380" t="s">
        <v>1618</v>
      </c>
      <c r="B380" t="s">
        <v>1619</v>
      </c>
      <c r="C380" t="s">
        <v>13</v>
      </c>
      <c r="E380" t="s">
        <v>1620</v>
      </c>
      <c r="F380">
        <v>4950</v>
      </c>
      <c r="G380" t="s">
        <v>15</v>
      </c>
      <c r="H380" t="s">
        <v>16</v>
      </c>
      <c r="I380" t="s">
        <v>845</v>
      </c>
      <c r="J380" t="s">
        <v>846</v>
      </c>
      <c r="K380" t="s">
        <v>430</v>
      </c>
      <c r="L380" t="str">
        <f>HYPERLINK("https://business-monitor.ch/de/companies/357198-tanner-kaminbau-ag?utm_source=oberaargau","PROFIL ANSEHEN")</f>
        <v>PROFIL ANSEHEN</v>
      </c>
    </row>
    <row r="381" spans="1:12" x14ac:dyDescent="0.2">
      <c r="A381" t="s">
        <v>2885</v>
      </c>
      <c r="B381" t="s">
        <v>10400</v>
      </c>
      <c r="C381" t="s">
        <v>202</v>
      </c>
      <c r="E381" t="s">
        <v>10401</v>
      </c>
      <c r="F381">
        <v>4950</v>
      </c>
      <c r="G381" t="s">
        <v>15</v>
      </c>
      <c r="H381" t="s">
        <v>16</v>
      </c>
      <c r="I381" t="s">
        <v>542</v>
      </c>
      <c r="J381" t="s">
        <v>543</v>
      </c>
      <c r="K381" t="s">
        <v>430</v>
      </c>
      <c r="L381" t="str">
        <f>HYPERLINK("https://business-monitor.ch/de/companies/389813-habisreutinger-gebaeudehuelle-gmbh?utm_source=oberaargau","PROFIL ANSEHEN")</f>
        <v>PROFIL ANSEHEN</v>
      </c>
    </row>
    <row r="382" spans="1:12" x14ac:dyDescent="0.2">
      <c r="A382" t="s">
        <v>11021</v>
      </c>
      <c r="B382" t="s">
        <v>11022</v>
      </c>
      <c r="C382" t="s">
        <v>202</v>
      </c>
      <c r="E382" t="s">
        <v>4599</v>
      </c>
      <c r="F382">
        <v>4923</v>
      </c>
      <c r="G382" t="s">
        <v>732</v>
      </c>
      <c r="H382" t="s">
        <v>16</v>
      </c>
      <c r="I382" t="s">
        <v>191</v>
      </c>
      <c r="J382" t="s">
        <v>192</v>
      </c>
      <c r="K382" t="s">
        <v>430</v>
      </c>
      <c r="L382" t="str">
        <f>HYPERLINK("https://business-monitor.ch/de/companies/1118199-zeller-landtechnik-gmbh?utm_source=oberaargau","PROFIL ANSEHEN")</f>
        <v>PROFIL ANSEHEN</v>
      </c>
    </row>
    <row r="383" spans="1:12" x14ac:dyDescent="0.2">
      <c r="A383" t="s">
        <v>1572</v>
      </c>
      <c r="B383" t="s">
        <v>1573</v>
      </c>
      <c r="C383" t="s">
        <v>13</v>
      </c>
      <c r="E383" t="s">
        <v>14367</v>
      </c>
      <c r="F383">
        <v>4938</v>
      </c>
      <c r="G383" t="s">
        <v>618</v>
      </c>
      <c r="H383" t="s">
        <v>16</v>
      </c>
      <c r="I383" t="s">
        <v>77</v>
      </c>
      <c r="J383" t="s">
        <v>78</v>
      </c>
      <c r="K383" t="s">
        <v>430</v>
      </c>
      <c r="L383" t="str">
        <f>HYPERLINK("https://business-monitor.ch/de/companies/592849-zaugg-bauconzept-ag?utm_source=oberaargau","PROFIL ANSEHEN")</f>
        <v>PROFIL ANSEHEN</v>
      </c>
    </row>
    <row r="384" spans="1:12" x14ac:dyDescent="0.2">
      <c r="A384" t="s">
        <v>3384</v>
      </c>
      <c r="B384" t="s">
        <v>3385</v>
      </c>
      <c r="C384" t="s">
        <v>13</v>
      </c>
      <c r="E384" t="s">
        <v>3386</v>
      </c>
      <c r="F384">
        <v>3362</v>
      </c>
      <c r="G384" t="s">
        <v>47</v>
      </c>
      <c r="H384" t="s">
        <v>16</v>
      </c>
      <c r="I384" t="s">
        <v>1553</v>
      </c>
      <c r="J384" t="s">
        <v>1554</v>
      </c>
      <c r="K384" t="s">
        <v>430</v>
      </c>
      <c r="L384" t="str">
        <f>HYPERLINK("https://business-monitor.ch/de/companies/203391-elrem-electronic-ag?utm_source=oberaargau","PROFIL ANSEHEN")</f>
        <v>PROFIL ANSEHEN</v>
      </c>
    </row>
    <row r="385" spans="1:12" x14ac:dyDescent="0.2">
      <c r="A385" t="s">
        <v>821</v>
      </c>
      <c r="B385" t="s">
        <v>822</v>
      </c>
      <c r="C385" t="s">
        <v>13</v>
      </c>
      <c r="E385" t="s">
        <v>823</v>
      </c>
      <c r="F385">
        <v>4704</v>
      </c>
      <c r="G385" t="s">
        <v>221</v>
      </c>
      <c r="H385" t="s">
        <v>16</v>
      </c>
      <c r="I385" t="s">
        <v>824</v>
      </c>
      <c r="J385" t="s">
        <v>825</v>
      </c>
      <c r="K385" t="s">
        <v>430</v>
      </c>
      <c r="L385" t="str">
        <f>HYPERLINK("https://business-monitor.ch/de/companies/589187-gasthof-zum-baeren-niederbipp-ag?utm_source=oberaargau","PROFIL ANSEHEN")</f>
        <v>PROFIL ANSEHEN</v>
      </c>
    </row>
    <row r="386" spans="1:12" x14ac:dyDescent="0.2">
      <c r="A386" t="s">
        <v>9145</v>
      </c>
      <c r="B386" t="s">
        <v>9146</v>
      </c>
      <c r="C386" t="s">
        <v>13</v>
      </c>
      <c r="E386" t="s">
        <v>7393</v>
      </c>
      <c r="F386">
        <v>4934</v>
      </c>
      <c r="G386" t="s">
        <v>670</v>
      </c>
      <c r="H386" t="s">
        <v>16</v>
      </c>
      <c r="I386" t="s">
        <v>679</v>
      </c>
      <c r="J386" t="s">
        <v>680</v>
      </c>
      <c r="K386" t="s">
        <v>430</v>
      </c>
      <c r="L386" t="str">
        <f>HYPERLINK("https://business-monitor.ch/de/companies/171600-zulliger-schreinerei-holzbau-ag?utm_source=oberaargau","PROFIL ANSEHEN")</f>
        <v>PROFIL ANSEHEN</v>
      </c>
    </row>
    <row r="387" spans="1:12" x14ac:dyDescent="0.2">
      <c r="A387" t="s">
        <v>819</v>
      </c>
      <c r="B387" t="s">
        <v>820</v>
      </c>
      <c r="C387" t="s">
        <v>13</v>
      </c>
      <c r="E387" t="s">
        <v>528</v>
      </c>
      <c r="F387">
        <v>4912</v>
      </c>
      <c r="G387" t="s">
        <v>64</v>
      </c>
      <c r="H387" t="s">
        <v>16</v>
      </c>
      <c r="I387" t="s">
        <v>391</v>
      </c>
      <c r="J387" t="s">
        <v>392</v>
      </c>
      <c r="K387" t="s">
        <v>430</v>
      </c>
      <c r="L387" t="str">
        <f>HYPERLINK("https://business-monitor.ch/de/companies/314237-infrajet-ag?utm_source=oberaargau","PROFIL ANSEHEN")</f>
        <v>PROFIL ANSEHEN</v>
      </c>
    </row>
    <row r="388" spans="1:12" x14ac:dyDescent="0.2">
      <c r="A388" t="s">
        <v>5486</v>
      </c>
      <c r="B388" t="s">
        <v>9196</v>
      </c>
      <c r="C388" t="s">
        <v>13</v>
      </c>
      <c r="E388" t="s">
        <v>9197</v>
      </c>
      <c r="F388">
        <v>4944</v>
      </c>
      <c r="G388" t="s">
        <v>1176</v>
      </c>
      <c r="H388" t="s">
        <v>16</v>
      </c>
      <c r="I388" t="s">
        <v>733</v>
      </c>
      <c r="J388" t="s">
        <v>734</v>
      </c>
      <c r="K388" t="s">
        <v>430</v>
      </c>
      <c r="L388" t="str">
        <f>HYPERLINK("https://business-monitor.ch/de/companies/152239-autorama-ag?utm_source=oberaargau","PROFIL ANSEHEN")</f>
        <v>PROFIL ANSEHEN</v>
      </c>
    </row>
    <row r="389" spans="1:12" x14ac:dyDescent="0.2">
      <c r="A389" t="s">
        <v>1050</v>
      </c>
      <c r="B389" t="s">
        <v>1051</v>
      </c>
      <c r="C389" t="s">
        <v>13</v>
      </c>
      <c r="E389" t="s">
        <v>1052</v>
      </c>
      <c r="F389">
        <v>3360</v>
      </c>
      <c r="G389" t="s">
        <v>35</v>
      </c>
      <c r="H389" t="s">
        <v>16</v>
      </c>
      <c r="I389" t="s">
        <v>1053</v>
      </c>
      <c r="J389" t="s">
        <v>1054</v>
      </c>
      <c r="K389" t="s">
        <v>430</v>
      </c>
      <c r="L389" t="str">
        <f>HYPERLINK("https://business-monitor.ch/de/companies/135243-steffen-raumkonzepte-ag?utm_source=oberaargau","PROFIL ANSEHEN")</f>
        <v>PROFIL ANSEHEN</v>
      </c>
    </row>
    <row r="390" spans="1:12" x14ac:dyDescent="0.2">
      <c r="A390" t="s">
        <v>911</v>
      </c>
      <c r="B390" t="s">
        <v>912</v>
      </c>
      <c r="C390" t="s">
        <v>13</v>
      </c>
      <c r="D390" t="s">
        <v>11221</v>
      </c>
      <c r="E390" t="s">
        <v>1341</v>
      </c>
      <c r="F390">
        <v>4900</v>
      </c>
      <c r="G390" t="s">
        <v>41</v>
      </c>
      <c r="H390" t="s">
        <v>16</v>
      </c>
      <c r="I390" t="s">
        <v>100</v>
      </c>
      <c r="J390" t="s">
        <v>101</v>
      </c>
      <c r="K390" t="s">
        <v>430</v>
      </c>
      <c r="L390" t="str">
        <f>HYPERLINK("https://business-monitor.ch/de/companies/228570-geiser-petro-com-ag?utm_source=oberaargau","PROFIL ANSEHEN")</f>
        <v>PROFIL ANSEHEN</v>
      </c>
    </row>
    <row r="391" spans="1:12" x14ac:dyDescent="0.2">
      <c r="A391" t="s">
        <v>1723</v>
      </c>
      <c r="B391" t="s">
        <v>1724</v>
      </c>
      <c r="C391" t="s">
        <v>13</v>
      </c>
      <c r="E391" t="s">
        <v>1725</v>
      </c>
      <c r="F391">
        <v>3360</v>
      </c>
      <c r="G391" t="s">
        <v>35</v>
      </c>
      <c r="H391" t="s">
        <v>16</v>
      </c>
      <c r="I391" t="s">
        <v>331</v>
      </c>
      <c r="J391" t="s">
        <v>332</v>
      </c>
      <c r="K391" t="s">
        <v>430</v>
      </c>
      <c r="L391" t="str">
        <f>HYPERLINK("https://business-monitor.ch/de/companies/235473-iat-industrielle-anlagentechnik-ag?utm_source=oberaargau","PROFIL ANSEHEN")</f>
        <v>PROFIL ANSEHEN</v>
      </c>
    </row>
    <row r="392" spans="1:12" x14ac:dyDescent="0.2">
      <c r="A392" t="s">
        <v>685</v>
      </c>
      <c r="B392" t="s">
        <v>686</v>
      </c>
      <c r="C392" t="s">
        <v>13</v>
      </c>
      <c r="E392" t="s">
        <v>687</v>
      </c>
      <c r="F392">
        <v>4537</v>
      </c>
      <c r="G392" t="s">
        <v>113</v>
      </c>
      <c r="H392" t="s">
        <v>16</v>
      </c>
      <c r="I392" t="s">
        <v>642</v>
      </c>
      <c r="J392" t="s">
        <v>643</v>
      </c>
      <c r="K392" t="s">
        <v>430</v>
      </c>
      <c r="L392" t="str">
        <f>HYPERLINK("https://business-monitor.ch/de/companies/173777-allemann-automobil-ag?utm_source=oberaargau","PROFIL ANSEHEN")</f>
        <v>PROFIL ANSEHEN</v>
      </c>
    </row>
    <row r="393" spans="1:12" x14ac:dyDescent="0.2">
      <c r="A393" t="s">
        <v>466</v>
      </c>
      <c r="B393" t="s">
        <v>467</v>
      </c>
      <c r="C393" t="s">
        <v>13</v>
      </c>
      <c r="E393" t="s">
        <v>468</v>
      </c>
      <c r="F393">
        <v>4900</v>
      </c>
      <c r="G393" t="s">
        <v>41</v>
      </c>
      <c r="H393" t="s">
        <v>16</v>
      </c>
      <c r="I393" t="s">
        <v>469</v>
      </c>
      <c r="J393" t="s">
        <v>470</v>
      </c>
      <c r="K393" t="s">
        <v>430</v>
      </c>
      <c r="L393" t="str">
        <f>HYPERLINK("https://business-monitor.ch/de/companies/208014-f-zulauf-messerschmiede-werkzeugfabrikations-ag?utm_source=oberaargau","PROFIL ANSEHEN")</f>
        <v>PROFIL ANSEHEN</v>
      </c>
    </row>
    <row r="394" spans="1:12" x14ac:dyDescent="0.2">
      <c r="A394" t="s">
        <v>9126</v>
      </c>
      <c r="B394" t="s">
        <v>9127</v>
      </c>
      <c r="C394" t="s">
        <v>13</v>
      </c>
      <c r="E394" t="s">
        <v>11132</v>
      </c>
      <c r="F394">
        <v>3360</v>
      </c>
      <c r="G394" t="s">
        <v>35</v>
      </c>
      <c r="H394" t="s">
        <v>16</v>
      </c>
      <c r="I394" t="s">
        <v>1212</v>
      </c>
      <c r="J394" t="s">
        <v>1213</v>
      </c>
      <c r="K394" t="s">
        <v>430</v>
      </c>
      <c r="L394" t="str">
        <f>HYPERLINK("https://business-monitor.ch/de/companies/172387-thierstein-ag-festwirtschafts-vermietungen?utm_source=oberaargau","PROFIL ANSEHEN")</f>
        <v>PROFIL ANSEHEN</v>
      </c>
    </row>
    <row r="395" spans="1:12" x14ac:dyDescent="0.2">
      <c r="A395" t="s">
        <v>3559</v>
      </c>
      <c r="B395" t="s">
        <v>3560</v>
      </c>
      <c r="C395" t="s">
        <v>13</v>
      </c>
      <c r="D395" t="s">
        <v>3561</v>
      </c>
      <c r="E395" t="s">
        <v>528</v>
      </c>
      <c r="F395">
        <v>4912</v>
      </c>
      <c r="G395" t="s">
        <v>64</v>
      </c>
      <c r="H395" t="s">
        <v>16</v>
      </c>
      <c r="I395" t="s">
        <v>1689</v>
      </c>
      <c r="J395" t="s">
        <v>1690</v>
      </c>
      <c r="K395" t="s">
        <v>430</v>
      </c>
      <c r="L395" t="str">
        <f>HYPERLINK("https://business-monitor.ch/de/companies/117005-abritec-ag?utm_source=oberaargau","PROFIL ANSEHEN")</f>
        <v>PROFIL ANSEHEN</v>
      </c>
    </row>
    <row r="396" spans="1:12" x14ac:dyDescent="0.2">
      <c r="A396" t="s">
        <v>790</v>
      </c>
      <c r="B396" t="s">
        <v>791</v>
      </c>
      <c r="C396" t="s">
        <v>13</v>
      </c>
      <c r="E396" t="s">
        <v>437</v>
      </c>
      <c r="F396">
        <v>4900</v>
      </c>
      <c r="G396" t="s">
        <v>41</v>
      </c>
      <c r="H396" t="s">
        <v>16</v>
      </c>
      <c r="I396" t="s">
        <v>182</v>
      </c>
      <c r="J396" t="s">
        <v>183</v>
      </c>
      <c r="K396" t="s">
        <v>430</v>
      </c>
      <c r="L396" t="str">
        <f>HYPERLINK("https://business-monitor.ch/de/companies/27179-log-com-holding-ag?utm_source=oberaargau","PROFIL ANSEHEN")</f>
        <v>PROFIL ANSEHEN</v>
      </c>
    </row>
    <row r="397" spans="1:12" x14ac:dyDescent="0.2">
      <c r="A397" t="s">
        <v>12982</v>
      </c>
      <c r="B397" t="s">
        <v>14092</v>
      </c>
      <c r="C397" t="s">
        <v>13</v>
      </c>
      <c r="E397" t="s">
        <v>501</v>
      </c>
      <c r="F397">
        <v>4900</v>
      </c>
      <c r="G397" t="s">
        <v>41</v>
      </c>
      <c r="H397" t="s">
        <v>16</v>
      </c>
      <c r="I397" t="s">
        <v>596</v>
      </c>
      <c r="J397" t="s">
        <v>597</v>
      </c>
      <c r="K397" t="s">
        <v>430</v>
      </c>
      <c r="L397" t="str">
        <f>HYPERLINK("https://business-monitor.ch/de/companies/1238257-langenthaler-bier-ag?utm_source=oberaargau","PROFIL ANSEHEN")</f>
        <v>PROFIL ANSEHEN</v>
      </c>
    </row>
    <row r="398" spans="1:12" x14ac:dyDescent="0.2">
      <c r="A398" t="s">
        <v>1482</v>
      </c>
      <c r="B398" t="s">
        <v>1483</v>
      </c>
      <c r="C398" t="s">
        <v>13</v>
      </c>
      <c r="E398" t="s">
        <v>1484</v>
      </c>
      <c r="F398">
        <v>4900</v>
      </c>
      <c r="G398" t="s">
        <v>41</v>
      </c>
      <c r="H398" t="s">
        <v>16</v>
      </c>
      <c r="I398" t="s">
        <v>1485</v>
      </c>
      <c r="J398" t="s">
        <v>1486</v>
      </c>
      <c r="K398" t="s">
        <v>430</v>
      </c>
      <c r="L398" t="str">
        <f>HYPERLINK("https://business-monitor.ch/de/companies/170950-dueby-ag?utm_source=oberaargau","PROFIL ANSEHEN")</f>
        <v>PROFIL ANSEHEN</v>
      </c>
    </row>
    <row r="399" spans="1:12" x14ac:dyDescent="0.2">
      <c r="A399" t="s">
        <v>1059</v>
      </c>
      <c r="B399" t="s">
        <v>1060</v>
      </c>
      <c r="C399" t="s">
        <v>202</v>
      </c>
      <c r="E399" t="s">
        <v>1061</v>
      </c>
      <c r="F399">
        <v>4900</v>
      </c>
      <c r="G399" t="s">
        <v>41</v>
      </c>
      <c r="H399" t="s">
        <v>16</v>
      </c>
      <c r="I399" t="s">
        <v>1062</v>
      </c>
      <c r="J399" t="s">
        <v>1063</v>
      </c>
      <c r="K399" t="s">
        <v>430</v>
      </c>
      <c r="L399" t="str">
        <f>HYPERLINK("https://business-monitor.ch/de/companies/521159-theo-steimer-gmbh?utm_source=oberaargau","PROFIL ANSEHEN")</f>
        <v>PROFIL ANSEHEN</v>
      </c>
    </row>
    <row r="400" spans="1:12" x14ac:dyDescent="0.2">
      <c r="A400" t="s">
        <v>1602</v>
      </c>
      <c r="B400" t="s">
        <v>1603</v>
      </c>
      <c r="C400" t="s">
        <v>13</v>
      </c>
      <c r="E400" t="s">
        <v>1604</v>
      </c>
      <c r="F400">
        <v>4922</v>
      </c>
      <c r="G400" t="s">
        <v>99</v>
      </c>
      <c r="H400" t="s">
        <v>16</v>
      </c>
      <c r="I400" t="s">
        <v>997</v>
      </c>
      <c r="J400" t="s">
        <v>998</v>
      </c>
      <c r="K400" t="s">
        <v>430</v>
      </c>
      <c r="L400" t="str">
        <f>HYPERLINK("https://business-monitor.ch/de/companies/141242-gall-superbikes-ag?utm_source=oberaargau","PROFIL ANSEHEN")</f>
        <v>PROFIL ANSEHEN</v>
      </c>
    </row>
    <row r="401" spans="1:12" x14ac:dyDescent="0.2">
      <c r="A401" t="s">
        <v>797</v>
      </c>
      <c r="B401" t="s">
        <v>798</v>
      </c>
      <c r="C401" t="s">
        <v>13</v>
      </c>
      <c r="E401" t="s">
        <v>799</v>
      </c>
      <c r="F401">
        <v>3360</v>
      </c>
      <c r="G401" t="s">
        <v>35</v>
      </c>
      <c r="H401" t="s">
        <v>16</v>
      </c>
      <c r="I401" t="s">
        <v>800</v>
      </c>
      <c r="J401" t="s">
        <v>801</v>
      </c>
      <c r="K401" t="s">
        <v>430</v>
      </c>
      <c r="L401" t="str">
        <f>HYPERLINK("https://business-monitor.ch/de/companies/505140-baertschi-werkzeuge-maschinen-ag?utm_source=oberaargau","PROFIL ANSEHEN")</f>
        <v>PROFIL ANSEHEN</v>
      </c>
    </row>
    <row r="402" spans="1:12" x14ac:dyDescent="0.2">
      <c r="A402" t="s">
        <v>12467</v>
      </c>
      <c r="B402" t="s">
        <v>1209</v>
      </c>
      <c r="C402" t="s">
        <v>13</v>
      </c>
      <c r="E402" t="s">
        <v>617</v>
      </c>
      <c r="F402">
        <v>4938</v>
      </c>
      <c r="G402" t="s">
        <v>618</v>
      </c>
      <c r="H402" t="s">
        <v>16</v>
      </c>
      <c r="I402" t="s">
        <v>1210</v>
      </c>
      <c r="J402" t="s">
        <v>1211</v>
      </c>
      <c r="K402" t="s">
        <v>430</v>
      </c>
      <c r="L402" t="str">
        <f>HYPERLINK("https://business-monitor.ch/de/companies/1214528-lanz-anliker-ag?utm_source=oberaargau","PROFIL ANSEHEN")</f>
        <v>PROFIL ANSEHEN</v>
      </c>
    </row>
    <row r="403" spans="1:12" x14ac:dyDescent="0.2">
      <c r="A403" t="s">
        <v>4298</v>
      </c>
      <c r="B403" t="s">
        <v>12963</v>
      </c>
      <c r="C403" t="s">
        <v>202</v>
      </c>
      <c r="E403" t="s">
        <v>4299</v>
      </c>
      <c r="F403">
        <v>4923</v>
      </c>
      <c r="G403" t="s">
        <v>732</v>
      </c>
      <c r="H403" t="s">
        <v>16</v>
      </c>
      <c r="I403" t="s">
        <v>2275</v>
      </c>
      <c r="J403" t="s">
        <v>2276</v>
      </c>
      <c r="K403" t="s">
        <v>430</v>
      </c>
      <c r="L403" t="str">
        <f>HYPERLINK("https://business-monitor.ch/de/companies/974253-dima-fm-gmbh?utm_source=oberaargau","PROFIL ANSEHEN")</f>
        <v>PROFIL ANSEHEN</v>
      </c>
    </row>
    <row r="404" spans="1:12" x14ac:dyDescent="0.2">
      <c r="A404" t="s">
        <v>919</v>
      </c>
      <c r="B404" t="s">
        <v>14373</v>
      </c>
      <c r="C404" t="s">
        <v>13</v>
      </c>
      <c r="E404" t="s">
        <v>636</v>
      </c>
      <c r="F404">
        <v>4953</v>
      </c>
      <c r="G404" t="s">
        <v>416</v>
      </c>
      <c r="H404" t="s">
        <v>16</v>
      </c>
      <c r="I404" t="s">
        <v>920</v>
      </c>
      <c r="J404" t="s">
        <v>921</v>
      </c>
      <c r="K404" t="s">
        <v>430</v>
      </c>
      <c r="L404" t="str">
        <f>HYPERLINK("https://business-monitor.ch/de/companies/209940-spycher-handwerk-ag?utm_source=oberaargau","PROFIL ANSEHEN")</f>
        <v>PROFIL ANSEHEN</v>
      </c>
    </row>
    <row r="405" spans="1:12" x14ac:dyDescent="0.2">
      <c r="A405" t="s">
        <v>847</v>
      </c>
      <c r="B405" t="s">
        <v>848</v>
      </c>
      <c r="C405" t="s">
        <v>13</v>
      </c>
      <c r="E405" t="s">
        <v>849</v>
      </c>
      <c r="F405">
        <v>4900</v>
      </c>
      <c r="G405" t="s">
        <v>41</v>
      </c>
      <c r="H405" t="s">
        <v>16</v>
      </c>
      <c r="I405" t="s">
        <v>587</v>
      </c>
      <c r="J405" t="s">
        <v>588</v>
      </c>
      <c r="K405" t="s">
        <v>430</v>
      </c>
      <c r="L405" t="str">
        <f>HYPERLINK("https://business-monitor.ch/de/companies/209651-siegrist-ingenieur-und-planungsbuero-ag?utm_source=oberaargau","PROFIL ANSEHEN")</f>
        <v>PROFIL ANSEHEN</v>
      </c>
    </row>
    <row r="406" spans="1:12" x14ac:dyDescent="0.2">
      <c r="A406" t="s">
        <v>2987</v>
      </c>
      <c r="B406" t="s">
        <v>12958</v>
      </c>
      <c r="C406" t="s">
        <v>13</v>
      </c>
      <c r="E406" t="s">
        <v>1629</v>
      </c>
      <c r="F406">
        <v>3368</v>
      </c>
      <c r="G406" t="s">
        <v>308</v>
      </c>
      <c r="H406" t="s">
        <v>16</v>
      </c>
      <c r="I406" t="s">
        <v>781</v>
      </c>
      <c r="J406" t="s">
        <v>782</v>
      </c>
      <c r="K406" t="s">
        <v>430</v>
      </c>
      <c r="L406" t="str">
        <f>HYPERLINK("https://business-monitor.ch/de/companies/355609-hcs-immobilien-ag?utm_source=oberaargau","PROFIL ANSEHEN")</f>
        <v>PROFIL ANSEHEN</v>
      </c>
    </row>
    <row r="407" spans="1:12" x14ac:dyDescent="0.2">
      <c r="A407" t="s">
        <v>11740</v>
      </c>
      <c r="B407" t="s">
        <v>11741</v>
      </c>
      <c r="C407" t="s">
        <v>13</v>
      </c>
      <c r="E407" t="s">
        <v>190</v>
      </c>
      <c r="F407">
        <v>4538</v>
      </c>
      <c r="G407" t="s">
        <v>71</v>
      </c>
      <c r="H407" t="s">
        <v>16</v>
      </c>
      <c r="I407" t="s">
        <v>191</v>
      </c>
      <c r="J407" t="s">
        <v>192</v>
      </c>
      <c r="K407" t="s">
        <v>430</v>
      </c>
      <c r="L407" t="str">
        <f>HYPERLINK("https://business-monitor.ch/de/companies/1157039-umatec-ag?utm_source=oberaargau","PROFIL ANSEHEN")</f>
        <v>PROFIL ANSEHEN</v>
      </c>
    </row>
    <row r="408" spans="1:12" x14ac:dyDescent="0.2">
      <c r="A408" t="s">
        <v>1417</v>
      </c>
      <c r="B408" t="s">
        <v>1418</v>
      </c>
      <c r="C408" t="s">
        <v>13</v>
      </c>
      <c r="E408" t="s">
        <v>1419</v>
      </c>
      <c r="F408">
        <v>3363</v>
      </c>
      <c r="G408" t="s">
        <v>1367</v>
      </c>
      <c r="H408" t="s">
        <v>16</v>
      </c>
      <c r="I408" t="s">
        <v>679</v>
      </c>
      <c r="J408" t="s">
        <v>680</v>
      </c>
      <c r="K408" t="s">
        <v>430</v>
      </c>
      <c r="L408" t="str">
        <f>HYPERLINK("https://business-monitor.ch/de/companies/407667-schreinerei-p-schmid-ag?utm_source=oberaargau","PROFIL ANSEHEN")</f>
        <v>PROFIL ANSEHEN</v>
      </c>
    </row>
    <row r="409" spans="1:12" x14ac:dyDescent="0.2">
      <c r="A409" t="s">
        <v>1735</v>
      </c>
      <c r="B409" t="s">
        <v>1736</v>
      </c>
      <c r="C409" t="s">
        <v>13</v>
      </c>
      <c r="E409" t="s">
        <v>1670</v>
      </c>
      <c r="F409">
        <v>4704</v>
      </c>
      <c r="G409" t="s">
        <v>221</v>
      </c>
      <c r="H409" t="s">
        <v>16</v>
      </c>
      <c r="I409" t="s">
        <v>298</v>
      </c>
      <c r="J409" t="s">
        <v>299</v>
      </c>
      <c r="K409" t="s">
        <v>430</v>
      </c>
      <c r="L409" t="str">
        <f>HYPERLINK("https://business-monitor.ch/de/companies/70268-aka-leuchten-ag?utm_source=oberaargau","PROFIL ANSEHEN")</f>
        <v>PROFIL ANSEHEN</v>
      </c>
    </row>
    <row r="410" spans="1:12" x14ac:dyDescent="0.2">
      <c r="A410" t="s">
        <v>1128</v>
      </c>
      <c r="B410" t="s">
        <v>1129</v>
      </c>
      <c r="C410" t="s">
        <v>13</v>
      </c>
      <c r="E410" t="s">
        <v>1130</v>
      </c>
      <c r="F410">
        <v>4900</v>
      </c>
      <c r="G410" t="s">
        <v>41</v>
      </c>
      <c r="H410" t="s">
        <v>16</v>
      </c>
      <c r="I410" t="s">
        <v>260</v>
      </c>
      <c r="J410" t="s">
        <v>261</v>
      </c>
      <c r="K410" t="s">
        <v>430</v>
      </c>
      <c r="L410" t="str">
        <f>HYPERLINK("https://business-monitor.ch/de/companies/406644-volante-baurealisierung-ag?utm_source=oberaargau","PROFIL ANSEHEN")</f>
        <v>PROFIL ANSEHEN</v>
      </c>
    </row>
    <row r="411" spans="1:12" x14ac:dyDescent="0.2">
      <c r="A411" t="s">
        <v>10982</v>
      </c>
      <c r="B411" t="s">
        <v>1294</v>
      </c>
      <c r="C411" t="s">
        <v>13</v>
      </c>
      <c r="E411" t="s">
        <v>1295</v>
      </c>
      <c r="F411">
        <v>4912</v>
      </c>
      <c r="G411" t="s">
        <v>64</v>
      </c>
      <c r="H411" t="s">
        <v>16</v>
      </c>
      <c r="I411" t="s">
        <v>1296</v>
      </c>
      <c r="J411" t="s">
        <v>1297</v>
      </c>
      <c r="K411" t="s">
        <v>430</v>
      </c>
      <c r="L411" t="str">
        <f>HYPERLINK("https://business-monitor.ch/de/companies/1107577-trikora-ag?utm_source=oberaargau","PROFIL ANSEHEN")</f>
        <v>PROFIL ANSEHEN</v>
      </c>
    </row>
    <row r="412" spans="1:12" x14ac:dyDescent="0.2">
      <c r="A412" t="s">
        <v>6883</v>
      </c>
      <c r="B412" t="s">
        <v>6884</v>
      </c>
      <c r="C412" t="s">
        <v>13</v>
      </c>
      <c r="E412" t="s">
        <v>6885</v>
      </c>
      <c r="F412">
        <v>4914</v>
      </c>
      <c r="G412" t="s">
        <v>105</v>
      </c>
      <c r="H412" t="s">
        <v>16</v>
      </c>
      <c r="I412" t="s">
        <v>331</v>
      </c>
      <c r="J412" t="s">
        <v>332</v>
      </c>
      <c r="K412" t="s">
        <v>430</v>
      </c>
      <c r="L412" t="str">
        <f>HYPERLINK("https://business-monitor.ch/de/companies/30623-w-o-geiser-ag?utm_source=oberaargau","PROFIL ANSEHEN")</f>
        <v>PROFIL ANSEHEN</v>
      </c>
    </row>
    <row r="413" spans="1:12" x14ac:dyDescent="0.2">
      <c r="A413" t="s">
        <v>681</v>
      </c>
      <c r="B413" t="s">
        <v>682</v>
      </c>
      <c r="C413" t="s">
        <v>13</v>
      </c>
      <c r="E413" t="s">
        <v>683</v>
      </c>
      <c r="F413">
        <v>4955</v>
      </c>
      <c r="G413" t="s">
        <v>684</v>
      </c>
      <c r="H413" t="s">
        <v>16</v>
      </c>
      <c r="I413" t="s">
        <v>48</v>
      </c>
      <c r="J413" t="s">
        <v>49</v>
      </c>
      <c r="K413" t="s">
        <v>430</v>
      </c>
      <c r="L413" t="str">
        <f>HYPERLINK("https://business-monitor.ch/de/companies/591563-holmag-ag?utm_source=oberaargau","PROFIL ANSEHEN")</f>
        <v>PROFIL ANSEHEN</v>
      </c>
    </row>
    <row r="414" spans="1:12" x14ac:dyDescent="0.2">
      <c r="A414" t="s">
        <v>1392</v>
      </c>
      <c r="B414" t="s">
        <v>1393</v>
      </c>
      <c r="C414" t="s">
        <v>13</v>
      </c>
      <c r="E414" t="s">
        <v>1394</v>
      </c>
      <c r="F414">
        <v>4536</v>
      </c>
      <c r="G414" t="s">
        <v>1395</v>
      </c>
      <c r="H414" t="s">
        <v>16</v>
      </c>
      <c r="I414" t="s">
        <v>642</v>
      </c>
      <c r="J414" t="s">
        <v>643</v>
      </c>
      <c r="K414" t="s">
        <v>430</v>
      </c>
      <c r="L414" t="str">
        <f>HYPERLINK("https://business-monitor.ch/de/companies/267978-auto-lemp-ag?utm_source=oberaargau","PROFIL ANSEHEN")</f>
        <v>PROFIL ANSEHEN</v>
      </c>
    </row>
    <row r="415" spans="1:12" x14ac:dyDescent="0.2">
      <c r="A415" t="s">
        <v>843</v>
      </c>
      <c r="B415" t="s">
        <v>844</v>
      </c>
      <c r="C415" t="s">
        <v>13</v>
      </c>
      <c r="E415" t="s">
        <v>528</v>
      </c>
      <c r="F415">
        <v>4912</v>
      </c>
      <c r="G415" t="s">
        <v>64</v>
      </c>
      <c r="H415" t="s">
        <v>16</v>
      </c>
      <c r="I415" t="s">
        <v>331</v>
      </c>
      <c r="J415" t="s">
        <v>332</v>
      </c>
      <c r="K415" t="s">
        <v>430</v>
      </c>
      <c r="L415" t="str">
        <f>HYPERLINK("https://business-monitor.ch/de/companies/152409-waterjet-ag?utm_source=oberaargau","PROFIL ANSEHEN")</f>
        <v>PROFIL ANSEHEN</v>
      </c>
    </row>
    <row r="416" spans="1:12" x14ac:dyDescent="0.2">
      <c r="A416" t="s">
        <v>136</v>
      </c>
      <c r="B416" t="s">
        <v>137</v>
      </c>
      <c r="C416" t="s">
        <v>13</v>
      </c>
      <c r="E416" t="s">
        <v>138</v>
      </c>
      <c r="F416">
        <v>4900</v>
      </c>
      <c r="G416" t="s">
        <v>41</v>
      </c>
      <c r="H416" t="s">
        <v>16</v>
      </c>
      <c r="I416" t="s">
        <v>139</v>
      </c>
      <c r="J416" t="s">
        <v>140</v>
      </c>
      <c r="K416" t="s">
        <v>430</v>
      </c>
      <c r="L416" t="str">
        <f>HYPERLINK("https://business-monitor.ch/de/companies/690402-hystrix-medical-ag?utm_source=oberaargau","PROFIL ANSEHEN")</f>
        <v>PROFIL ANSEHEN</v>
      </c>
    </row>
    <row r="417" spans="1:12" x14ac:dyDescent="0.2">
      <c r="A417" t="s">
        <v>1564</v>
      </c>
      <c r="B417" t="s">
        <v>1565</v>
      </c>
      <c r="C417" t="s">
        <v>84</v>
      </c>
      <c r="D417" t="s">
        <v>1566</v>
      </c>
      <c r="E417" t="s">
        <v>1567</v>
      </c>
      <c r="F417">
        <v>3365</v>
      </c>
      <c r="G417" t="s">
        <v>1008</v>
      </c>
      <c r="H417" t="s">
        <v>16</v>
      </c>
      <c r="I417" t="s">
        <v>304</v>
      </c>
      <c r="J417" t="s">
        <v>305</v>
      </c>
      <c r="K417" t="s">
        <v>430</v>
      </c>
      <c r="L417" t="str">
        <f>HYPERLINK("https://business-monitor.ch/de/companies/70389-elektra-seeberg-grasswil-riedtwil-genossenschaft?utm_source=oberaargau","PROFIL ANSEHEN")</f>
        <v>PROFIL ANSEHEN</v>
      </c>
    </row>
    <row r="418" spans="1:12" x14ac:dyDescent="0.2">
      <c r="A418" t="s">
        <v>435</v>
      </c>
      <c r="B418" t="s">
        <v>436</v>
      </c>
      <c r="C418" t="s">
        <v>13</v>
      </c>
      <c r="E418" t="s">
        <v>437</v>
      </c>
      <c r="F418">
        <v>4900</v>
      </c>
      <c r="G418" t="s">
        <v>41</v>
      </c>
      <c r="H418" t="s">
        <v>16</v>
      </c>
      <c r="I418" t="s">
        <v>438</v>
      </c>
      <c r="J418" t="s">
        <v>439</v>
      </c>
      <c r="K418" t="s">
        <v>430</v>
      </c>
      <c r="L418" t="str">
        <f>HYPERLINK("https://business-monitor.ch/de/companies/137400-bernhard-polybau-ag?utm_source=oberaargau","PROFIL ANSEHEN")</f>
        <v>PROFIL ANSEHEN</v>
      </c>
    </row>
    <row r="419" spans="1:12" x14ac:dyDescent="0.2">
      <c r="A419" t="s">
        <v>82</v>
      </c>
      <c r="B419" t="s">
        <v>715</v>
      </c>
      <c r="C419" t="s">
        <v>13</v>
      </c>
      <c r="E419" t="s">
        <v>716</v>
      </c>
      <c r="F419">
        <v>4914</v>
      </c>
      <c r="G419" t="s">
        <v>717</v>
      </c>
      <c r="H419" t="s">
        <v>16</v>
      </c>
      <c r="I419" t="s">
        <v>718</v>
      </c>
      <c r="J419" t="s">
        <v>719</v>
      </c>
      <c r="K419" t="s">
        <v>430</v>
      </c>
      <c r="L419" t="str">
        <f>HYPERLINK("https://business-monitor.ch/de/companies/172326-ernst-gerber-ag?utm_source=oberaargau","PROFIL ANSEHEN")</f>
        <v>PROFIL ANSEHEN</v>
      </c>
    </row>
    <row r="420" spans="1:12" x14ac:dyDescent="0.2">
      <c r="A420" t="s">
        <v>2829</v>
      </c>
      <c r="B420" t="s">
        <v>8734</v>
      </c>
      <c r="C420" t="s">
        <v>13</v>
      </c>
      <c r="E420" t="s">
        <v>1146</v>
      </c>
      <c r="F420">
        <v>3360</v>
      </c>
      <c r="G420" t="s">
        <v>35</v>
      </c>
      <c r="H420" t="s">
        <v>16</v>
      </c>
      <c r="I420" t="s">
        <v>5435</v>
      </c>
      <c r="J420" t="s">
        <v>5436</v>
      </c>
      <c r="K420" t="s">
        <v>430</v>
      </c>
      <c r="L420" t="str">
        <f>HYPERLINK("https://business-monitor.ch/de/companies/384685-bestlight-ag?utm_source=oberaargau","PROFIL ANSEHEN")</f>
        <v>PROFIL ANSEHEN</v>
      </c>
    </row>
    <row r="421" spans="1:12" x14ac:dyDescent="0.2">
      <c r="A421" t="s">
        <v>729</v>
      </c>
      <c r="B421" t="s">
        <v>730</v>
      </c>
      <c r="C421" t="s">
        <v>13</v>
      </c>
      <c r="E421" t="s">
        <v>731</v>
      </c>
      <c r="F421">
        <v>4923</v>
      </c>
      <c r="G421" t="s">
        <v>732</v>
      </c>
      <c r="H421" t="s">
        <v>16</v>
      </c>
      <c r="I421" t="s">
        <v>733</v>
      </c>
      <c r="J421" t="s">
        <v>734</v>
      </c>
      <c r="K421" t="s">
        <v>430</v>
      </c>
      <c r="L421" t="str">
        <f>HYPERLINK("https://business-monitor.ch/de/companies/370906-schoeni-cars-ag?utm_source=oberaargau","PROFIL ANSEHEN")</f>
        <v>PROFIL ANSEHEN</v>
      </c>
    </row>
    <row r="422" spans="1:12" x14ac:dyDescent="0.2">
      <c r="A422" t="s">
        <v>13516</v>
      </c>
      <c r="B422" t="s">
        <v>13517</v>
      </c>
      <c r="C422" t="s">
        <v>13</v>
      </c>
      <c r="E422" t="s">
        <v>13518</v>
      </c>
      <c r="F422">
        <v>4536</v>
      </c>
      <c r="G422" t="s">
        <v>1395</v>
      </c>
      <c r="H422" t="s">
        <v>16</v>
      </c>
      <c r="I422" t="s">
        <v>420</v>
      </c>
      <c r="J422" t="s">
        <v>421</v>
      </c>
      <c r="K422" t="s">
        <v>430</v>
      </c>
      <c r="L422" t="str">
        <f>HYPERLINK("https://business-monitor.ch/de/companies/1266402-rent-lemp-ag?utm_source=oberaargau","PROFIL ANSEHEN")</f>
        <v>PROFIL ANSEHEN</v>
      </c>
    </row>
    <row r="423" spans="1:12" x14ac:dyDescent="0.2">
      <c r="A423" t="s">
        <v>1559</v>
      </c>
      <c r="B423" t="s">
        <v>1560</v>
      </c>
      <c r="C423" t="s">
        <v>13</v>
      </c>
      <c r="E423" t="s">
        <v>1561</v>
      </c>
      <c r="F423">
        <v>4900</v>
      </c>
      <c r="G423" t="s">
        <v>41</v>
      </c>
      <c r="H423" t="s">
        <v>16</v>
      </c>
      <c r="I423" t="s">
        <v>1562</v>
      </c>
      <c r="J423" t="s">
        <v>1563</v>
      </c>
      <c r="K423" t="s">
        <v>430</v>
      </c>
      <c r="L423" t="str">
        <f>HYPERLINK("https://business-monitor.ch/de/companies/159220-graber-baumaschinen-ag?utm_source=oberaargau","PROFIL ANSEHEN")</f>
        <v>PROFIL ANSEHEN</v>
      </c>
    </row>
    <row r="424" spans="1:12" x14ac:dyDescent="0.2">
      <c r="A424" t="s">
        <v>499</v>
      </c>
      <c r="B424" t="s">
        <v>500</v>
      </c>
      <c r="C424" t="s">
        <v>13</v>
      </c>
      <c r="E424" t="s">
        <v>13279</v>
      </c>
      <c r="F424">
        <v>4900</v>
      </c>
      <c r="G424" t="s">
        <v>41</v>
      </c>
      <c r="H424" t="s">
        <v>16</v>
      </c>
      <c r="I424" t="s">
        <v>502</v>
      </c>
      <c r="J424" t="s">
        <v>503</v>
      </c>
      <c r="K424" t="s">
        <v>430</v>
      </c>
      <c r="L424" t="str">
        <f>HYPERLINK("https://business-monitor.ch/de/companies/72142-porzellanfabrik-langenthal-ag?utm_source=oberaargau","PROFIL ANSEHEN")</f>
        <v>PROFIL ANSEHEN</v>
      </c>
    </row>
    <row r="425" spans="1:12" x14ac:dyDescent="0.2">
      <c r="A425" t="s">
        <v>342</v>
      </c>
      <c r="B425" t="s">
        <v>343</v>
      </c>
      <c r="C425" t="s">
        <v>84</v>
      </c>
      <c r="E425" t="s">
        <v>85</v>
      </c>
      <c r="F425">
        <v>3362</v>
      </c>
      <c r="G425" t="s">
        <v>47</v>
      </c>
      <c r="H425" t="s">
        <v>16</v>
      </c>
      <c r="I425" t="s">
        <v>640</v>
      </c>
      <c r="J425" t="s">
        <v>641</v>
      </c>
      <c r="K425" t="s">
        <v>430</v>
      </c>
      <c r="L425" t="str">
        <f>HYPERLINK("https://business-monitor.ch/de/companies/173982-schweizerischer-schafzuchtverband-genossenschaft?utm_source=oberaargau","PROFIL ANSEHEN")</f>
        <v>PROFIL ANSEHEN</v>
      </c>
    </row>
    <row r="426" spans="1:12" x14ac:dyDescent="0.2">
      <c r="A426" t="s">
        <v>1284</v>
      </c>
      <c r="B426" t="s">
        <v>1285</v>
      </c>
      <c r="C426" t="s">
        <v>84</v>
      </c>
      <c r="E426" t="s">
        <v>1286</v>
      </c>
      <c r="F426">
        <v>4942</v>
      </c>
      <c r="G426" t="s">
        <v>1287</v>
      </c>
      <c r="H426" t="s">
        <v>16</v>
      </c>
      <c r="I426" t="s">
        <v>100</v>
      </c>
      <c r="J426" t="s">
        <v>101</v>
      </c>
      <c r="K426" t="s">
        <v>430</v>
      </c>
      <c r="L426" t="str">
        <f>HYPERLINK("https://business-monitor.ch/de/companies/15112-kaesereigenossenschaft-walterswil?utm_source=oberaargau","PROFIL ANSEHEN")</f>
        <v>PROFIL ANSEHEN</v>
      </c>
    </row>
    <row r="427" spans="1:12" x14ac:dyDescent="0.2">
      <c r="A427" t="s">
        <v>1041</v>
      </c>
      <c r="B427" t="s">
        <v>1042</v>
      </c>
      <c r="C427" t="s">
        <v>202</v>
      </c>
      <c r="E427" t="s">
        <v>1043</v>
      </c>
      <c r="F427">
        <v>4932</v>
      </c>
      <c r="G427" t="s">
        <v>325</v>
      </c>
      <c r="H427" t="s">
        <v>16</v>
      </c>
      <c r="I427" t="s">
        <v>134</v>
      </c>
      <c r="J427" t="s">
        <v>135</v>
      </c>
      <c r="K427" t="s">
        <v>430</v>
      </c>
      <c r="L427" t="str">
        <f>HYPERLINK("https://business-monitor.ch/de/companies/232045-ebl-gmbh?utm_source=oberaargau","PROFIL ANSEHEN")</f>
        <v>PROFIL ANSEHEN</v>
      </c>
    </row>
    <row r="428" spans="1:12" x14ac:dyDescent="0.2">
      <c r="A428" t="s">
        <v>1663</v>
      </c>
      <c r="B428" t="s">
        <v>13274</v>
      </c>
      <c r="C428" t="s">
        <v>13</v>
      </c>
      <c r="E428" t="s">
        <v>1664</v>
      </c>
      <c r="F428">
        <v>3360</v>
      </c>
      <c r="G428" t="s">
        <v>35</v>
      </c>
      <c r="H428" t="s">
        <v>16</v>
      </c>
      <c r="I428" t="s">
        <v>331</v>
      </c>
      <c r="J428" t="s">
        <v>332</v>
      </c>
      <c r="K428" t="s">
        <v>430</v>
      </c>
      <c r="L428" t="str">
        <f>HYPERLINK("https://business-monitor.ch/de/companies/152295-meyer-blechtechnik-ag-herzogenbuchsee?utm_source=oberaargau","PROFIL ANSEHEN")</f>
        <v>PROFIL ANSEHEN</v>
      </c>
    </row>
    <row r="429" spans="1:12" x14ac:dyDescent="0.2">
      <c r="A429" t="s">
        <v>1082</v>
      </c>
      <c r="B429" t="s">
        <v>1083</v>
      </c>
      <c r="C429" t="s">
        <v>13</v>
      </c>
      <c r="E429" t="s">
        <v>1084</v>
      </c>
      <c r="F429">
        <v>4900</v>
      </c>
      <c r="G429" t="s">
        <v>41</v>
      </c>
      <c r="H429" t="s">
        <v>16</v>
      </c>
      <c r="I429" t="s">
        <v>232</v>
      </c>
      <c r="J429" t="s">
        <v>233</v>
      </c>
      <c r="K429" t="s">
        <v>430</v>
      </c>
      <c r="L429" t="str">
        <f>HYPERLINK("https://business-monitor.ch/de/companies/420265-indigo-treuhand-ag?utm_source=oberaargau","PROFIL ANSEHEN")</f>
        <v>PROFIL ANSEHEN</v>
      </c>
    </row>
    <row r="430" spans="1:12" x14ac:dyDescent="0.2">
      <c r="A430" t="s">
        <v>1298</v>
      </c>
      <c r="B430" t="s">
        <v>753</v>
      </c>
      <c r="C430" t="s">
        <v>13</v>
      </c>
      <c r="E430" t="s">
        <v>195</v>
      </c>
      <c r="F430">
        <v>4538</v>
      </c>
      <c r="G430" t="s">
        <v>71</v>
      </c>
      <c r="H430" t="s">
        <v>16</v>
      </c>
      <c r="I430" t="s">
        <v>331</v>
      </c>
      <c r="J430" t="s">
        <v>332</v>
      </c>
      <c r="K430" t="s">
        <v>430</v>
      </c>
      <c r="L430" t="str">
        <f>HYPERLINK("https://business-monitor.ch/de/companies/140755-wartmann-technologie-ag?utm_source=oberaargau","PROFIL ANSEHEN")</f>
        <v>PROFIL ANSEHEN</v>
      </c>
    </row>
    <row r="431" spans="1:12" x14ac:dyDescent="0.2">
      <c r="A431" t="s">
        <v>13280</v>
      </c>
      <c r="B431" t="s">
        <v>13281</v>
      </c>
      <c r="C431" t="s">
        <v>84</v>
      </c>
      <c r="D431" t="s">
        <v>13282</v>
      </c>
      <c r="E431" t="s">
        <v>13283</v>
      </c>
      <c r="F431">
        <v>4943</v>
      </c>
      <c r="G431" t="s">
        <v>1022</v>
      </c>
      <c r="H431" t="s">
        <v>16</v>
      </c>
      <c r="I431" t="s">
        <v>2062</v>
      </c>
      <c r="J431" t="s">
        <v>2063</v>
      </c>
      <c r="K431" t="s">
        <v>430</v>
      </c>
      <c r="L431" t="str">
        <f>HYPERLINK("https://business-monitor.ch/de/companies/1253769-genossenschaft-ursenbacher-dorflade?utm_source=oberaargau","PROFIL ANSEHEN")</f>
        <v>PROFIL ANSEHEN</v>
      </c>
    </row>
    <row r="432" spans="1:12" x14ac:dyDescent="0.2">
      <c r="A432" t="s">
        <v>1378</v>
      </c>
      <c r="B432" t="s">
        <v>1379</v>
      </c>
      <c r="C432" t="s">
        <v>13</v>
      </c>
      <c r="E432" t="s">
        <v>1380</v>
      </c>
      <c r="F432">
        <v>4704</v>
      </c>
      <c r="G432" t="s">
        <v>221</v>
      </c>
      <c r="H432" t="s">
        <v>16</v>
      </c>
      <c r="I432" t="s">
        <v>1381</v>
      </c>
      <c r="J432" t="s">
        <v>1382</v>
      </c>
      <c r="K432" t="s">
        <v>430</v>
      </c>
      <c r="L432" t="str">
        <f>HYPERLINK("https://business-monitor.ch/de/companies/436924-sdl-drahtwaren-ag?utm_source=oberaargau","PROFIL ANSEHEN")</f>
        <v>PROFIL ANSEHEN</v>
      </c>
    </row>
    <row r="433" spans="1:12" x14ac:dyDescent="0.2">
      <c r="A433" t="s">
        <v>937</v>
      </c>
      <c r="B433" t="s">
        <v>938</v>
      </c>
      <c r="C433" t="s">
        <v>202</v>
      </c>
      <c r="E433" t="s">
        <v>939</v>
      </c>
      <c r="F433">
        <v>4900</v>
      </c>
      <c r="G433" t="s">
        <v>41</v>
      </c>
      <c r="H433" t="s">
        <v>16</v>
      </c>
      <c r="I433" t="s">
        <v>940</v>
      </c>
      <c r="J433" t="s">
        <v>941</v>
      </c>
      <c r="K433" t="s">
        <v>430</v>
      </c>
      <c r="L433" t="str">
        <f>HYPERLINK("https://business-monitor.ch/de/companies/649395-provisorium-betriebs-gmbh?utm_source=oberaargau","PROFIL ANSEHEN")</f>
        <v>PROFIL ANSEHEN</v>
      </c>
    </row>
    <row r="434" spans="1:12" x14ac:dyDescent="0.2">
      <c r="A434" t="s">
        <v>1586</v>
      </c>
      <c r="B434" t="s">
        <v>12961</v>
      </c>
      <c r="C434" t="s">
        <v>13</v>
      </c>
      <c r="E434" t="s">
        <v>12962</v>
      </c>
      <c r="F434">
        <v>4900</v>
      </c>
      <c r="G434" t="s">
        <v>41</v>
      </c>
      <c r="H434" t="s">
        <v>16</v>
      </c>
      <c r="I434" t="s">
        <v>260</v>
      </c>
      <c r="J434" t="s">
        <v>261</v>
      </c>
      <c r="K434" t="s">
        <v>430</v>
      </c>
      <c r="L434" t="str">
        <f>HYPERLINK("https://business-monitor.ch/de/companies/154681-coora-architektur-ag?utm_source=oberaargau","PROFIL ANSEHEN")</f>
        <v>PROFIL ANSEHEN</v>
      </c>
    </row>
    <row r="435" spans="1:12" x14ac:dyDescent="0.2">
      <c r="A435" t="s">
        <v>809</v>
      </c>
      <c r="B435" t="s">
        <v>810</v>
      </c>
      <c r="C435" t="s">
        <v>13</v>
      </c>
      <c r="E435" t="s">
        <v>811</v>
      </c>
      <c r="F435">
        <v>4936</v>
      </c>
      <c r="G435" t="s">
        <v>768</v>
      </c>
      <c r="H435" t="s">
        <v>16</v>
      </c>
      <c r="I435" t="s">
        <v>507</v>
      </c>
      <c r="J435" t="s">
        <v>508</v>
      </c>
      <c r="K435" t="s">
        <v>430</v>
      </c>
      <c r="L435" t="str">
        <f>HYPERLINK("https://business-monitor.ch/de/companies/171552-metzgerei-tschanz-ag?utm_source=oberaargau","PROFIL ANSEHEN")</f>
        <v>PROFIL ANSEHEN</v>
      </c>
    </row>
    <row r="436" spans="1:12" x14ac:dyDescent="0.2">
      <c r="A436" t="s">
        <v>229</v>
      </c>
      <c r="B436" t="s">
        <v>230</v>
      </c>
      <c r="C436" t="s">
        <v>13</v>
      </c>
      <c r="E436" t="s">
        <v>231</v>
      </c>
      <c r="F436">
        <v>4900</v>
      </c>
      <c r="G436" t="s">
        <v>41</v>
      </c>
      <c r="H436" t="s">
        <v>16</v>
      </c>
      <c r="I436" t="s">
        <v>232</v>
      </c>
      <c r="J436" t="s">
        <v>233</v>
      </c>
      <c r="K436" t="s">
        <v>430</v>
      </c>
      <c r="L436" t="str">
        <f>HYPERLINK("https://business-monitor.ch/de/companies/5387-gfeller-partner-ag?utm_source=oberaargau","PROFIL ANSEHEN")</f>
        <v>PROFIL ANSEHEN</v>
      </c>
    </row>
    <row r="437" spans="1:12" x14ac:dyDescent="0.2">
      <c r="A437" t="s">
        <v>93</v>
      </c>
      <c r="B437" t="s">
        <v>94</v>
      </c>
      <c r="C437" t="s">
        <v>13</v>
      </c>
      <c r="E437" t="s">
        <v>95</v>
      </c>
      <c r="F437">
        <v>4900</v>
      </c>
      <c r="G437" t="s">
        <v>41</v>
      </c>
      <c r="H437" t="s">
        <v>16</v>
      </c>
      <c r="I437" t="s">
        <v>96</v>
      </c>
      <c r="J437" t="s">
        <v>97</v>
      </c>
      <c r="K437" t="s">
        <v>430</v>
      </c>
      <c r="L437" t="str">
        <f>HYPERLINK("https://business-monitor.ch/de/companies/92095-kunsteisbahn-langenthal-ag?utm_source=oberaargau","PROFIL ANSEHEN")</f>
        <v>PROFIL ANSEHEN</v>
      </c>
    </row>
    <row r="438" spans="1:12" x14ac:dyDescent="0.2">
      <c r="A438" t="s">
        <v>12225</v>
      </c>
      <c r="B438" t="s">
        <v>12226</v>
      </c>
      <c r="C438" t="s">
        <v>13</v>
      </c>
      <c r="E438" t="s">
        <v>419</v>
      </c>
      <c r="F438">
        <v>4913</v>
      </c>
      <c r="G438" t="s">
        <v>207</v>
      </c>
      <c r="H438" t="s">
        <v>16</v>
      </c>
      <c r="I438" t="s">
        <v>420</v>
      </c>
      <c r="J438" t="s">
        <v>421</v>
      </c>
      <c r="K438" t="s">
        <v>430</v>
      </c>
      <c r="L438" t="str">
        <f>HYPERLINK("https://business-monitor.ch/de/companies/1182300-cv-port-i-ag?utm_source=oberaargau","PROFIL ANSEHEN")</f>
        <v>PROFIL ANSEHEN</v>
      </c>
    </row>
    <row r="439" spans="1:12" x14ac:dyDescent="0.2">
      <c r="A439" t="s">
        <v>6777</v>
      </c>
      <c r="B439" t="s">
        <v>6778</v>
      </c>
      <c r="C439" t="s">
        <v>13</v>
      </c>
      <c r="E439" t="s">
        <v>4452</v>
      </c>
      <c r="F439">
        <v>4900</v>
      </c>
      <c r="G439" t="s">
        <v>41</v>
      </c>
      <c r="H439" t="s">
        <v>16</v>
      </c>
      <c r="I439" t="s">
        <v>2622</v>
      </c>
      <c r="J439" t="s">
        <v>2623</v>
      </c>
      <c r="K439" t="s">
        <v>430</v>
      </c>
      <c r="L439" t="str">
        <f>HYPERLINK("https://business-monitor.ch/de/companies/103927-pneu-boesiger-ag?utm_source=oberaargau","PROFIL ANSEHEN")</f>
        <v>PROFIL ANSEHEN</v>
      </c>
    </row>
    <row r="440" spans="1:12" x14ac:dyDescent="0.2">
      <c r="A440" t="s">
        <v>1630</v>
      </c>
      <c r="B440" t="s">
        <v>1631</v>
      </c>
      <c r="C440" t="s">
        <v>13</v>
      </c>
      <c r="E440" t="s">
        <v>1632</v>
      </c>
      <c r="F440">
        <v>4950</v>
      </c>
      <c r="G440" t="s">
        <v>15</v>
      </c>
      <c r="H440" t="s">
        <v>16</v>
      </c>
      <c r="I440" t="s">
        <v>1633</v>
      </c>
      <c r="J440" t="s">
        <v>1634</v>
      </c>
      <c r="K440" t="s">
        <v>430</v>
      </c>
      <c r="L440" t="str">
        <f>HYPERLINK("https://business-monitor.ch/de/companies/201196-flyer-ag?utm_source=oberaargau","PROFIL ANSEHEN")</f>
        <v>PROFIL ANSEHEN</v>
      </c>
    </row>
    <row r="441" spans="1:12" x14ac:dyDescent="0.2">
      <c r="A441" t="s">
        <v>1006</v>
      </c>
      <c r="B441" t="s">
        <v>1007</v>
      </c>
      <c r="C441" t="s">
        <v>13</v>
      </c>
      <c r="E441" t="s">
        <v>13834</v>
      </c>
      <c r="F441">
        <v>3365</v>
      </c>
      <c r="G441" t="s">
        <v>1008</v>
      </c>
      <c r="H441" t="s">
        <v>16</v>
      </c>
      <c r="I441" t="s">
        <v>191</v>
      </c>
      <c r="J441" t="s">
        <v>192</v>
      </c>
      <c r="K441" t="s">
        <v>430</v>
      </c>
      <c r="L441" t="str">
        <f>HYPERLINK("https://business-monitor.ch/de/companies/169399-lmg-landmaschinen-ag-grasswil?utm_source=oberaargau","PROFIL ANSEHEN")</f>
        <v>PROFIL ANSEHEN</v>
      </c>
    </row>
    <row r="442" spans="1:12" x14ac:dyDescent="0.2">
      <c r="A442" t="s">
        <v>720</v>
      </c>
      <c r="B442" t="s">
        <v>721</v>
      </c>
      <c r="C442" t="s">
        <v>13</v>
      </c>
      <c r="E442" t="s">
        <v>722</v>
      </c>
      <c r="F442">
        <v>4950</v>
      </c>
      <c r="G442" t="s">
        <v>15</v>
      </c>
      <c r="H442" t="s">
        <v>16</v>
      </c>
      <c r="I442" t="s">
        <v>723</v>
      </c>
      <c r="J442" t="s">
        <v>724</v>
      </c>
      <c r="K442" t="s">
        <v>430</v>
      </c>
      <c r="L442" t="str">
        <f>HYPERLINK("https://business-monitor.ch/de/companies/75394-schuerch-co-a-g-saege-und-hobelwerk-autotransporte-und-baumaterialien-huttwil?utm_source=oberaargau","PROFIL ANSEHEN")</f>
        <v>PROFIL ANSEHEN</v>
      </c>
    </row>
    <row r="443" spans="1:12" x14ac:dyDescent="0.2">
      <c r="A443" t="s">
        <v>8448</v>
      </c>
      <c r="B443" t="s">
        <v>8449</v>
      </c>
      <c r="C443" t="s">
        <v>202</v>
      </c>
      <c r="E443" t="s">
        <v>8450</v>
      </c>
      <c r="F443">
        <v>4900</v>
      </c>
      <c r="G443" t="s">
        <v>41</v>
      </c>
      <c r="H443" t="s">
        <v>16</v>
      </c>
      <c r="I443" t="s">
        <v>1918</v>
      </c>
      <c r="J443" t="s">
        <v>1919</v>
      </c>
      <c r="K443" t="s">
        <v>430</v>
      </c>
      <c r="L443" t="str">
        <f>HYPERLINK("https://business-monitor.ch/de/companies/1079298-hunziker-optik-gmbh?utm_source=oberaargau","PROFIL ANSEHEN")</f>
        <v>PROFIL ANSEHEN</v>
      </c>
    </row>
    <row r="444" spans="1:12" x14ac:dyDescent="0.2">
      <c r="A444" t="s">
        <v>11617</v>
      </c>
      <c r="B444" t="s">
        <v>11618</v>
      </c>
      <c r="C444" t="s">
        <v>13</v>
      </c>
      <c r="E444" t="s">
        <v>190</v>
      </c>
      <c r="F444">
        <v>4538</v>
      </c>
      <c r="G444" t="s">
        <v>71</v>
      </c>
      <c r="H444" t="s">
        <v>16</v>
      </c>
      <c r="I444" t="s">
        <v>4007</v>
      </c>
      <c r="J444" t="s">
        <v>4008</v>
      </c>
      <c r="K444" t="s">
        <v>430</v>
      </c>
      <c r="L444" t="str">
        <f>HYPERLINK("https://business-monitor.ch/de/companies/76342-sevra-suisse-ag?utm_source=oberaargau","PROFIL ANSEHEN")</f>
        <v>PROFIL ANSEHEN</v>
      </c>
    </row>
    <row r="445" spans="1:12" x14ac:dyDescent="0.2">
      <c r="A445" t="s">
        <v>1398</v>
      </c>
      <c r="B445" t="s">
        <v>1399</v>
      </c>
      <c r="C445" t="s">
        <v>13</v>
      </c>
      <c r="E445" t="s">
        <v>1400</v>
      </c>
      <c r="F445">
        <v>4704</v>
      </c>
      <c r="G445" t="s">
        <v>221</v>
      </c>
      <c r="H445" t="s">
        <v>16</v>
      </c>
      <c r="I445" t="s">
        <v>1401</v>
      </c>
      <c r="J445" t="s">
        <v>1402</v>
      </c>
      <c r="K445" t="s">
        <v>430</v>
      </c>
      <c r="L445" t="str">
        <f>HYPERLINK("https://business-monitor.ch/de/companies/178508-alpha-pflanzen-ag?utm_source=oberaargau","PROFIL ANSEHEN")</f>
        <v>PROFIL ANSEHEN</v>
      </c>
    </row>
    <row r="446" spans="1:12" x14ac:dyDescent="0.2">
      <c r="A446" t="s">
        <v>9870</v>
      </c>
      <c r="B446" t="s">
        <v>9871</v>
      </c>
      <c r="C446" t="s">
        <v>13</v>
      </c>
      <c r="E446" t="s">
        <v>744</v>
      </c>
      <c r="F446">
        <v>4912</v>
      </c>
      <c r="G446" t="s">
        <v>64</v>
      </c>
      <c r="H446" t="s">
        <v>16</v>
      </c>
      <c r="I446" t="s">
        <v>1409</v>
      </c>
      <c r="J446" t="s">
        <v>1410</v>
      </c>
      <c r="K446" t="s">
        <v>430</v>
      </c>
      <c r="L446" t="str">
        <f>HYPERLINK("https://business-monitor.ch/de/companies/982495-dorfchaesi-hofer-aarwangen-ag?utm_source=oberaargau","PROFIL ANSEHEN")</f>
        <v>PROFIL ANSEHEN</v>
      </c>
    </row>
    <row r="447" spans="1:12" x14ac:dyDescent="0.2">
      <c r="A447" t="s">
        <v>1280</v>
      </c>
      <c r="B447" t="s">
        <v>1281</v>
      </c>
      <c r="C447" t="s">
        <v>13</v>
      </c>
      <c r="E447" t="s">
        <v>1282</v>
      </c>
      <c r="F447">
        <v>4537</v>
      </c>
      <c r="G447" t="s">
        <v>113</v>
      </c>
      <c r="H447" t="s">
        <v>16</v>
      </c>
      <c r="I447" t="s">
        <v>2897</v>
      </c>
      <c r="J447" t="s">
        <v>2898</v>
      </c>
      <c r="K447" t="s">
        <v>430</v>
      </c>
      <c r="L447" t="str">
        <f>HYPERLINK("https://business-monitor.ch/de/companies/87061-jost-pflanzenkulturen-ag?utm_source=oberaargau","PROFIL ANSEHEN")</f>
        <v>PROFIL ANSEHEN</v>
      </c>
    </row>
    <row r="448" spans="1:12" x14ac:dyDescent="0.2">
      <c r="A448" t="s">
        <v>4874</v>
      </c>
      <c r="B448" t="s">
        <v>4875</v>
      </c>
      <c r="C448" t="s">
        <v>202</v>
      </c>
      <c r="D448" t="s">
        <v>4876</v>
      </c>
      <c r="E448" t="s">
        <v>14363</v>
      </c>
      <c r="F448">
        <v>3368</v>
      </c>
      <c r="G448" t="s">
        <v>308</v>
      </c>
      <c r="H448" t="s">
        <v>16</v>
      </c>
      <c r="I448" t="s">
        <v>4877</v>
      </c>
      <c r="J448" t="s">
        <v>4878</v>
      </c>
      <c r="K448" t="s">
        <v>430</v>
      </c>
      <c r="L448" t="str">
        <f>HYPERLINK("https://business-monitor.ch/de/companies/528547-hb-tpd-gmbh?utm_source=oberaargau","PROFIL ANSEHEN")</f>
        <v>PROFIL ANSEHEN</v>
      </c>
    </row>
    <row r="449" spans="1:12" x14ac:dyDescent="0.2">
      <c r="A449" t="s">
        <v>1623</v>
      </c>
      <c r="B449" t="s">
        <v>1624</v>
      </c>
      <c r="C449" t="s">
        <v>84</v>
      </c>
      <c r="D449" t="s">
        <v>1625</v>
      </c>
      <c r="E449" t="s">
        <v>1626</v>
      </c>
      <c r="F449">
        <v>4917</v>
      </c>
      <c r="G449" t="s">
        <v>376</v>
      </c>
      <c r="H449" t="s">
        <v>16</v>
      </c>
      <c r="I449" t="s">
        <v>1409</v>
      </c>
      <c r="J449" t="s">
        <v>1410</v>
      </c>
      <c r="K449" t="s">
        <v>430</v>
      </c>
      <c r="L449" t="str">
        <f>HYPERLINK("https://business-monitor.ch/de/companies/134900-kaesereigenossenschaft-melchnau?utm_source=oberaargau","PROFIL ANSEHEN")</f>
        <v>PROFIL ANSEHEN</v>
      </c>
    </row>
    <row r="450" spans="1:12" x14ac:dyDescent="0.2">
      <c r="A450" t="s">
        <v>957</v>
      </c>
      <c r="B450" t="s">
        <v>958</v>
      </c>
      <c r="C450" t="s">
        <v>13</v>
      </c>
      <c r="E450" t="s">
        <v>959</v>
      </c>
      <c r="F450">
        <v>4950</v>
      </c>
      <c r="G450" t="s">
        <v>15</v>
      </c>
      <c r="H450" t="s">
        <v>16</v>
      </c>
      <c r="I450" t="s">
        <v>507</v>
      </c>
      <c r="J450" t="s">
        <v>508</v>
      </c>
      <c r="K450" t="s">
        <v>430</v>
      </c>
      <c r="L450" t="str">
        <f>HYPERLINK("https://business-monitor.ch/de/companies/643322-flueckiger-emmentaler-spezialitaeten-ag?utm_source=oberaargau","PROFIL ANSEHEN")</f>
        <v>PROFIL ANSEHEN</v>
      </c>
    </row>
    <row r="451" spans="1:12" x14ac:dyDescent="0.2">
      <c r="A451" t="s">
        <v>904</v>
      </c>
      <c r="B451" t="s">
        <v>905</v>
      </c>
      <c r="C451" t="s">
        <v>13</v>
      </c>
      <c r="E451" t="s">
        <v>14367</v>
      </c>
      <c r="F451">
        <v>4938</v>
      </c>
      <c r="G451" t="s">
        <v>618</v>
      </c>
      <c r="H451" t="s">
        <v>16</v>
      </c>
      <c r="I451" t="s">
        <v>906</v>
      </c>
      <c r="J451" t="s">
        <v>907</v>
      </c>
      <c r="K451" t="s">
        <v>430</v>
      </c>
      <c r="L451" t="str">
        <f>HYPERLINK("https://business-monitor.ch/de/companies/135030-zaugg-immobilien-ag?utm_source=oberaargau","PROFIL ANSEHEN")</f>
        <v>PROFIL ANSEHEN</v>
      </c>
    </row>
    <row r="452" spans="1:12" x14ac:dyDescent="0.2">
      <c r="A452" t="s">
        <v>1533</v>
      </c>
      <c r="B452" t="s">
        <v>1534</v>
      </c>
      <c r="C452" t="s">
        <v>13</v>
      </c>
      <c r="E452" t="s">
        <v>12739</v>
      </c>
      <c r="F452">
        <v>3360</v>
      </c>
      <c r="G452" t="s">
        <v>35</v>
      </c>
      <c r="H452" t="s">
        <v>16</v>
      </c>
      <c r="I452" t="s">
        <v>1535</v>
      </c>
      <c r="J452" t="s">
        <v>1536</v>
      </c>
      <c r="K452" t="s">
        <v>430</v>
      </c>
      <c r="L452" t="str">
        <f>HYPERLINK("https://business-monitor.ch/de/companies/153522-durrer-gartenbau-ag?utm_source=oberaargau","PROFIL ANSEHEN")</f>
        <v>PROFIL ANSEHEN</v>
      </c>
    </row>
    <row r="453" spans="1:12" x14ac:dyDescent="0.2">
      <c r="A453" t="s">
        <v>1691</v>
      </c>
      <c r="B453" t="s">
        <v>1692</v>
      </c>
      <c r="C453" t="s">
        <v>13</v>
      </c>
      <c r="E453" t="s">
        <v>1693</v>
      </c>
      <c r="F453">
        <v>4922</v>
      </c>
      <c r="G453" t="s">
        <v>99</v>
      </c>
      <c r="H453" t="s">
        <v>16</v>
      </c>
      <c r="I453" t="s">
        <v>866</v>
      </c>
      <c r="J453" t="s">
        <v>867</v>
      </c>
      <c r="K453" t="s">
        <v>430</v>
      </c>
      <c r="L453" t="str">
        <f>HYPERLINK("https://business-monitor.ch/de/companies/437549-ingold-baumschulen-ag?utm_source=oberaargau","PROFIL ANSEHEN")</f>
        <v>PROFIL ANSEHEN</v>
      </c>
    </row>
    <row r="454" spans="1:12" x14ac:dyDescent="0.2">
      <c r="A454" t="s">
        <v>1658</v>
      </c>
      <c r="B454" t="s">
        <v>1659</v>
      </c>
      <c r="C454" t="s">
        <v>202</v>
      </c>
      <c r="E454" t="s">
        <v>1660</v>
      </c>
      <c r="F454">
        <v>3360</v>
      </c>
      <c r="G454" t="s">
        <v>35</v>
      </c>
      <c r="H454" t="s">
        <v>16</v>
      </c>
      <c r="I454" t="s">
        <v>1661</v>
      </c>
      <c r="J454" t="s">
        <v>1662</v>
      </c>
      <c r="K454" t="s">
        <v>430</v>
      </c>
      <c r="L454" t="str">
        <f>HYPERLINK("https://business-monitor.ch/de/companies/495467-schmidt-consulting-und-vertrieb-west-schweiz-gmbh?utm_source=oberaargau","PROFIL ANSEHEN")</f>
        <v>PROFIL ANSEHEN</v>
      </c>
    </row>
    <row r="455" spans="1:12" x14ac:dyDescent="0.2">
      <c r="A455" t="s">
        <v>1523</v>
      </c>
      <c r="B455" t="s">
        <v>1524</v>
      </c>
      <c r="C455" t="s">
        <v>13</v>
      </c>
      <c r="E455" t="s">
        <v>1525</v>
      </c>
      <c r="F455">
        <v>4900</v>
      </c>
      <c r="G455" t="s">
        <v>41</v>
      </c>
      <c r="H455" t="s">
        <v>16</v>
      </c>
      <c r="I455" t="s">
        <v>1446</v>
      </c>
      <c r="J455" t="s">
        <v>1447</v>
      </c>
      <c r="K455" t="s">
        <v>430</v>
      </c>
      <c r="L455" t="str">
        <f>HYPERLINK("https://business-monitor.ch/de/companies/170855-gebrueder-brand-ag-spenglerei-sanitaere-installationen?utm_source=oberaargau","PROFIL ANSEHEN")</f>
        <v>PROFIL ANSEHEN</v>
      </c>
    </row>
    <row r="456" spans="1:12" x14ac:dyDescent="0.2">
      <c r="A456" t="s">
        <v>804</v>
      </c>
      <c r="B456" t="s">
        <v>805</v>
      </c>
      <c r="C456" t="s">
        <v>13</v>
      </c>
      <c r="E456" t="s">
        <v>806</v>
      </c>
      <c r="F456">
        <v>4932</v>
      </c>
      <c r="G456" t="s">
        <v>325</v>
      </c>
      <c r="H456" t="s">
        <v>16</v>
      </c>
      <c r="I456" t="s">
        <v>807</v>
      </c>
      <c r="J456" t="s">
        <v>808</v>
      </c>
      <c r="K456" t="s">
        <v>430</v>
      </c>
      <c r="L456" t="str">
        <f>HYPERLINK("https://business-monitor.ch/de/companies/171555-markus-held-ag-4932-lotzwil?utm_source=oberaargau","PROFIL ANSEHEN")</f>
        <v>PROFIL ANSEHEN</v>
      </c>
    </row>
    <row r="457" spans="1:12" x14ac:dyDescent="0.2">
      <c r="A457" t="s">
        <v>1023</v>
      </c>
      <c r="B457" t="s">
        <v>1024</v>
      </c>
      <c r="C457" t="s">
        <v>13</v>
      </c>
      <c r="E457" t="s">
        <v>348</v>
      </c>
      <c r="F457">
        <v>4900</v>
      </c>
      <c r="G457" t="s">
        <v>41</v>
      </c>
      <c r="H457" t="s">
        <v>16</v>
      </c>
      <c r="I457" t="s">
        <v>420</v>
      </c>
      <c r="J457" t="s">
        <v>421</v>
      </c>
      <c r="K457" t="s">
        <v>430</v>
      </c>
      <c r="L457" t="str">
        <f>HYPERLINK("https://business-monitor.ch/de/companies/994701-swissbility-ag?utm_source=oberaargau","PROFIL ANSEHEN")</f>
        <v>PROFIL ANSEHEN</v>
      </c>
    </row>
    <row r="458" spans="1:12" x14ac:dyDescent="0.2">
      <c r="A458" t="s">
        <v>1239</v>
      </c>
      <c r="B458" t="s">
        <v>1240</v>
      </c>
      <c r="C458" t="s">
        <v>13</v>
      </c>
      <c r="E458" t="s">
        <v>1241</v>
      </c>
      <c r="F458">
        <v>4950</v>
      </c>
      <c r="G458" t="s">
        <v>15</v>
      </c>
      <c r="H458" t="s">
        <v>16</v>
      </c>
      <c r="I458" t="s">
        <v>642</v>
      </c>
      <c r="J458" t="s">
        <v>643</v>
      </c>
      <c r="K458" t="s">
        <v>430</v>
      </c>
      <c r="L458" t="str">
        <f>HYPERLINK("https://business-monitor.ch/de/companies/437366-graedel-cie-ag?utm_source=oberaargau","PROFIL ANSEHEN")</f>
        <v>PROFIL ANSEHEN</v>
      </c>
    </row>
    <row r="459" spans="1:12" x14ac:dyDescent="0.2">
      <c r="A459" t="s">
        <v>1304</v>
      </c>
      <c r="B459" t="s">
        <v>1305</v>
      </c>
      <c r="C459" t="s">
        <v>13</v>
      </c>
      <c r="E459" t="s">
        <v>1306</v>
      </c>
      <c r="F459">
        <v>3377</v>
      </c>
      <c r="G459" t="s">
        <v>1307</v>
      </c>
      <c r="H459" t="s">
        <v>16</v>
      </c>
      <c r="I459" t="s">
        <v>227</v>
      </c>
      <c r="J459" t="s">
        <v>228</v>
      </c>
      <c r="K459" t="s">
        <v>430</v>
      </c>
      <c r="L459" t="str">
        <f>HYPERLINK("https://business-monitor.ch/de/companies/169391-haas-holz-ag?utm_source=oberaargau","PROFIL ANSEHEN")</f>
        <v>PROFIL ANSEHEN</v>
      </c>
    </row>
    <row r="460" spans="1:12" x14ac:dyDescent="0.2">
      <c r="A460" t="s">
        <v>621</v>
      </c>
      <c r="B460" t="s">
        <v>622</v>
      </c>
      <c r="C460" t="s">
        <v>13</v>
      </c>
      <c r="E460" t="s">
        <v>623</v>
      </c>
      <c r="F460">
        <v>4537</v>
      </c>
      <c r="G460" t="s">
        <v>113</v>
      </c>
      <c r="H460" t="s">
        <v>16</v>
      </c>
      <c r="I460" t="s">
        <v>624</v>
      </c>
      <c r="J460" t="s">
        <v>625</v>
      </c>
      <c r="K460" t="s">
        <v>430</v>
      </c>
      <c r="L460" t="str">
        <f>HYPERLINK("https://business-monitor.ch/de/companies/87102-guenther-zimmerei-und-bedachungs-ag?utm_source=oberaargau","PROFIL ANSEHEN")</f>
        <v>PROFIL ANSEHEN</v>
      </c>
    </row>
    <row r="461" spans="1:12" x14ac:dyDescent="0.2">
      <c r="A461" t="s">
        <v>615</v>
      </c>
      <c r="B461" t="s">
        <v>616</v>
      </c>
      <c r="C461" t="s">
        <v>13</v>
      </c>
      <c r="E461" t="s">
        <v>617</v>
      </c>
      <c r="F461">
        <v>4938</v>
      </c>
      <c r="G461" t="s">
        <v>618</v>
      </c>
      <c r="H461" t="s">
        <v>16</v>
      </c>
      <c r="I461" t="s">
        <v>619</v>
      </c>
      <c r="J461" t="s">
        <v>620</v>
      </c>
      <c r="K461" t="s">
        <v>430</v>
      </c>
      <c r="L461" t="str">
        <f>HYPERLINK("https://business-monitor.ch/de/companies/474354-wv-rohrbach-ag?utm_source=oberaargau","PROFIL ANSEHEN")</f>
        <v>PROFIL ANSEHEN</v>
      </c>
    </row>
    <row r="462" spans="1:12" x14ac:dyDescent="0.2">
      <c r="A462" t="s">
        <v>244</v>
      </c>
      <c r="B462" t="s">
        <v>245</v>
      </c>
      <c r="C462" t="s">
        <v>13</v>
      </c>
      <c r="E462" t="s">
        <v>148</v>
      </c>
      <c r="F462">
        <v>3360</v>
      </c>
      <c r="G462" t="s">
        <v>35</v>
      </c>
      <c r="H462" t="s">
        <v>16</v>
      </c>
      <c r="I462" t="s">
        <v>12473</v>
      </c>
      <c r="J462" t="s">
        <v>12474</v>
      </c>
      <c r="K462" t="s">
        <v>430</v>
      </c>
      <c r="L462" t="str">
        <f>HYPERLINK("https://business-monitor.ch/de/companies/960844-ga-buchsi-ag?utm_source=oberaargau","PROFIL ANSEHEN")</f>
        <v>PROFIL ANSEHEN</v>
      </c>
    </row>
    <row r="463" spans="1:12" x14ac:dyDescent="0.2">
      <c r="A463" t="s">
        <v>1637</v>
      </c>
      <c r="B463" t="s">
        <v>1638</v>
      </c>
      <c r="C463" t="s">
        <v>202</v>
      </c>
      <c r="E463" t="s">
        <v>1639</v>
      </c>
      <c r="F463">
        <v>3373</v>
      </c>
      <c r="G463" t="s">
        <v>1640</v>
      </c>
      <c r="H463" t="s">
        <v>16</v>
      </c>
      <c r="I463" t="s">
        <v>570</v>
      </c>
      <c r="J463" t="s">
        <v>571</v>
      </c>
      <c r="K463" t="s">
        <v>430</v>
      </c>
      <c r="L463" t="str">
        <f>HYPERLINK("https://business-monitor.ch/de/companies/126348-servicetech-gmbh?utm_source=oberaargau","PROFIL ANSEHEN")</f>
        <v>PROFIL ANSEHEN</v>
      </c>
    </row>
    <row r="464" spans="1:12" x14ac:dyDescent="0.2">
      <c r="A464" t="s">
        <v>1496</v>
      </c>
      <c r="B464" t="s">
        <v>1497</v>
      </c>
      <c r="C464" t="s">
        <v>13</v>
      </c>
      <c r="E464" t="s">
        <v>1498</v>
      </c>
      <c r="F464">
        <v>4900</v>
      </c>
      <c r="G464" t="s">
        <v>41</v>
      </c>
      <c r="H464" t="s">
        <v>16</v>
      </c>
      <c r="I464" t="s">
        <v>1291</v>
      </c>
      <c r="J464" t="s">
        <v>1292</v>
      </c>
      <c r="K464" t="s">
        <v>430</v>
      </c>
      <c r="L464" t="str">
        <f>HYPERLINK("https://business-monitor.ch/de/companies/170927-landolt-kanalunterhalt-ag?utm_source=oberaargau","PROFIL ANSEHEN")</f>
        <v>PROFIL ANSEHEN</v>
      </c>
    </row>
    <row r="465" spans="1:12" x14ac:dyDescent="0.2">
      <c r="A465" t="s">
        <v>1756</v>
      </c>
      <c r="B465" t="s">
        <v>1757</v>
      </c>
      <c r="C465" t="s">
        <v>202</v>
      </c>
      <c r="E465" t="s">
        <v>166</v>
      </c>
      <c r="F465">
        <v>4900</v>
      </c>
      <c r="G465" t="s">
        <v>41</v>
      </c>
      <c r="H465" t="s">
        <v>16</v>
      </c>
      <c r="I465" t="s">
        <v>331</v>
      </c>
      <c r="J465" t="s">
        <v>332</v>
      </c>
      <c r="K465" t="s">
        <v>430</v>
      </c>
      <c r="L465" t="str">
        <f>HYPERLINK("https://business-monitor.ch/de/companies/726239-witschi-service-gmbh?utm_source=oberaargau","PROFIL ANSEHEN")</f>
        <v>PROFIL ANSEHEN</v>
      </c>
    </row>
    <row r="466" spans="1:12" x14ac:dyDescent="0.2">
      <c r="A466" t="s">
        <v>1472</v>
      </c>
      <c r="B466" t="s">
        <v>1473</v>
      </c>
      <c r="C466" t="s">
        <v>13</v>
      </c>
      <c r="E466" t="s">
        <v>1474</v>
      </c>
      <c r="F466">
        <v>4900</v>
      </c>
      <c r="G466" t="s">
        <v>41</v>
      </c>
      <c r="H466" t="s">
        <v>16</v>
      </c>
      <c r="I466" t="s">
        <v>139</v>
      </c>
      <c r="J466" t="s">
        <v>140</v>
      </c>
      <c r="K466" t="s">
        <v>430</v>
      </c>
      <c r="L466" t="str">
        <f>HYPERLINK("https://business-monitor.ch/de/companies/929658-q-point-ag?utm_source=oberaargau","PROFIL ANSEHEN")</f>
        <v>PROFIL ANSEHEN</v>
      </c>
    </row>
    <row r="467" spans="1:12" x14ac:dyDescent="0.2">
      <c r="A467" t="s">
        <v>1646</v>
      </c>
      <c r="B467" t="s">
        <v>1647</v>
      </c>
      <c r="C467" t="s">
        <v>13</v>
      </c>
      <c r="E467" t="s">
        <v>927</v>
      </c>
      <c r="F467">
        <v>4914</v>
      </c>
      <c r="G467" t="s">
        <v>105</v>
      </c>
      <c r="H467" t="s">
        <v>16</v>
      </c>
      <c r="I467" t="s">
        <v>858</v>
      </c>
      <c r="J467" t="s">
        <v>859</v>
      </c>
      <c r="K467" t="s">
        <v>430</v>
      </c>
      <c r="L467" t="str">
        <f>HYPERLINK("https://business-monitor.ch/de/companies/965138-lackierwerk-roggwil-ag?utm_source=oberaargau","PROFIL ANSEHEN")</f>
        <v>PROFIL ANSEHEN</v>
      </c>
    </row>
    <row r="468" spans="1:12" x14ac:dyDescent="0.2">
      <c r="A468" t="s">
        <v>1687</v>
      </c>
      <c r="B468" t="s">
        <v>1688</v>
      </c>
      <c r="C468" t="s">
        <v>13</v>
      </c>
      <c r="E468" t="s">
        <v>266</v>
      </c>
      <c r="F468">
        <v>4704</v>
      </c>
      <c r="G468" t="s">
        <v>221</v>
      </c>
      <c r="H468" t="s">
        <v>16</v>
      </c>
      <c r="I468" t="s">
        <v>1689</v>
      </c>
      <c r="J468" t="s">
        <v>1690</v>
      </c>
      <c r="K468" t="s">
        <v>430</v>
      </c>
      <c r="L468" t="str">
        <f>HYPERLINK("https://business-monitor.ch/de/companies/547438-belrec-ag?utm_source=oberaargau","PROFIL ANSEHEN")</f>
        <v>PROFIL ANSEHEN</v>
      </c>
    </row>
    <row r="469" spans="1:12" x14ac:dyDescent="0.2">
      <c r="A469" t="s">
        <v>1420</v>
      </c>
      <c r="B469" t="s">
        <v>1421</v>
      </c>
      <c r="C469" t="s">
        <v>13</v>
      </c>
      <c r="E469" t="s">
        <v>803</v>
      </c>
      <c r="F469">
        <v>4950</v>
      </c>
      <c r="G469" t="s">
        <v>15</v>
      </c>
      <c r="H469" t="s">
        <v>16</v>
      </c>
      <c r="I469" t="s">
        <v>1422</v>
      </c>
      <c r="J469" t="s">
        <v>1423</v>
      </c>
      <c r="K469" t="s">
        <v>430</v>
      </c>
      <c r="L469" t="str">
        <f>HYPERLINK("https://business-monitor.ch/de/companies/203065-nyffenegger-storenfabrik-ag?utm_source=oberaargau","PROFIL ANSEHEN")</f>
        <v>PROFIL ANSEHEN</v>
      </c>
    </row>
    <row r="470" spans="1:12" x14ac:dyDescent="0.2">
      <c r="A470" t="s">
        <v>10804</v>
      </c>
      <c r="B470" t="s">
        <v>10805</v>
      </c>
      <c r="C470" t="s">
        <v>202</v>
      </c>
      <c r="D470" t="s">
        <v>10806</v>
      </c>
      <c r="E470" t="s">
        <v>5861</v>
      </c>
      <c r="F470">
        <v>4900</v>
      </c>
      <c r="G470" t="s">
        <v>41</v>
      </c>
      <c r="H470" t="s">
        <v>16</v>
      </c>
      <c r="I470" t="s">
        <v>2665</v>
      </c>
      <c r="J470" t="s">
        <v>2666</v>
      </c>
      <c r="K470" t="s">
        <v>430</v>
      </c>
      <c r="L470" t="str">
        <f>HYPERLINK("https://business-monitor.ch/de/companies/1107809-wertwandler-gmbh?utm_source=oberaargau","PROFIL ANSEHEN")</f>
        <v>PROFIL ANSEHEN</v>
      </c>
    </row>
    <row r="471" spans="1:12" x14ac:dyDescent="0.2">
      <c r="A471" t="s">
        <v>14117</v>
      </c>
      <c r="B471" t="s">
        <v>14118</v>
      </c>
      <c r="C471" t="s">
        <v>13</v>
      </c>
      <c r="E471" t="s">
        <v>612</v>
      </c>
      <c r="F471">
        <v>4950</v>
      </c>
      <c r="G471" t="s">
        <v>15</v>
      </c>
      <c r="H471" t="s">
        <v>16</v>
      </c>
      <c r="I471" t="s">
        <v>551</v>
      </c>
      <c r="J471" t="s">
        <v>552</v>
      </c>
      <c r="K471" t="s">
        <v>430</v>
      </c>
      <c r="L471" t="str">
        <f>HYPERLINK("https://business-monitor.ch/de/companies/1285916-smartscale-newco-ag?utm_source=oberaargau","PROFIL ANSEHEN")</f>
        <v>PROFIL ANSEHEN</v>
      </c>
    </row>
    <row r="472" spans="1:12" x14ac:dyDescent="0.2">
      <c r="A472" t="s">
        <v>1671</v>
      </c>
      <c r="B472" t="s">
        <v>1672</v>
      </c>
      <c r="C472" t="s">
        <v>13</v>
      </c>
      <c r="E472" t="s">
        <v>1673</v>
      </c>
      <c r="F472">
        <v>4932</v>
      </c>
      <c r="G472" t="s">
        <v>325</v>
      </c>
      <c r="H472" t="s">
        <v>16</v>
      </c>
      <c r="I472" t="s">
        <v>679</v>
      </c>
      <c r="J472" t="s">
        <v>680</v>
      </c>
      <c r="K472" t="s">
        <v>430</v>
      </c>
      <c r="L472" t="str">
        <f>HYPERLINK("https://business-monitor.ch/de/companies/144426-nyffeler-lotzwil-ag?utm_source=oberaargau","PROFIL ANSEHEN")</f>
        <v>PROFIL ANSEHEN</v>
      </c>
    </row>
    <row r="473" spans="1:12" x14ac:dyDescent="0.2">
      <c r="A473" t="s">
        <v>1150</v>
      </c>
      <c r="B473" t="s">
        <v>1151</v>
      </c>
      <c r="C473" t="s">
        <v>84</v>
      </c>
      <c r="E473" t="s">
        <v>85</v>
      </c>
      <c r="F473">
        <v>3362</v>
      </c>
      <c r="G473" t="s">
        <v>47</v>
      </c>
      <c r="H473" t="s">
        <v>16</v>
      </c>
      <c r="I473" t="s">
        <v>1152</v>
      </c>
      <c r="J473" t="s">
        <v>1153</v>
      </c>
      <c r="K473" t="s">
        <v>430</v>
      </c>
      <c r="L473" t="str">
        <f>HYPERLINK("https://business-monitor.ch/de/companies/215954-verlagsgenossenschaft-caprovis?utm_source=oberaargau","PROFIL ANSEHEN")</f>
        <v>PROFIL ANSEHEN</v>
      </c>
    </row>
    <row r="474" spans="1:12" x14ac:dyDescent="0.2">
      <c r="A474" t="s">
        <v>1555</v>
      </c>
      <c r="B474" t="s">
        <v>1556</v>
      </c>
      <c r="C474" t="s">
        <v>13</v>
      </c>
      <c r="E474" t="s">
        <v>10765</v>
      </c>
      <c r="F474">
        <v>4900</v>
      </c>
      <c r="G474" t="s">
        <v>41</v>
      </c>
      <c r="H474" t="s">
        <v>16</v>
      </c>
      <c r="I474" t="s">
        <v>1557</v>
      </c>
      <c r="J474" t="s">
        <v>1558</v>
      </c>
      <c r="K474" t="s">
        <v>430</v>
      </c>
      <c r="L474" t="str">
        <f>HYPERLINK("https://business-monitor.ch/de/companies/104567-p-inc-ag?utm_source=oberaargau","PROFIL ANSEHEN")</f>
        <v>PROFIL ANSEHEN</v>
      </c>
    </row>
    <row r="475" spans="1:12" x14ac:dyDescent="0.2">
      <c r="A475" t="s">
        <v>1746</v>
      </c>
      <c r="B475" t="s">
        <v>1747</v>
      </c>
      <c r="C475" t="s">
        <v>13</v>
      </c>
      <c r="E475" t="s">
        <v>1748</v>
      </c>
      <c r="F475">
        <v>4912</v>
      </c>
      <c r="G475" t="s">
        <v>64</v>
      </c>
      <c r="H475" t="s">
        <v>16</v>
      </c>
      <c r="I475" t="s">
        <v>1553</v>
      </c>
      <c r="J475" t="s">
        <v>1554</v>
      </c>
      <c r="K475" t="s">
        <v>430</v>
      </c>
      <c r="L475" t="str">
        <f>HYPERLINK("https://business-monitor.ch/de/companies/124233-piexon-ag?utm_source=oberaargau","PROFIL ANSEHEN")</f>
        <v>PROFIL ANSEHEN</v>
      </c>
    </row>
    <row r="476" spans="1:12" x14ac:dyDescent="0.2">
      <c r="A476" t="s">
        <v>5781</v>
      </c>
      <c r="B476" t="s">
        <v>4046</v>
      </c>
      <c r="C476" t="s">
        <v>13</v>
      </c>
      <c r="E476" t="s">
        <v>5292</v>
      </c>
      <c r="F476">
        <v>3362</v>
      </c>
      <c r="G476" t="s">
        <v>47</v>
      </c>
      <c r="H476" t="s">
        <v>16</v>
      </c>
      <c r="I476" t="s">
        <v>570</v>
      </c>
      <c r="J476" t="s">
        <v>571</v>
      </c>
      <c r="K476" t="s">
        <v>430</v>
      </c>
      <c r="L476" t="str">
        <f>HYPERLINK("https://business-monitor.ch/de/companies/598120-lang-heizungen-ag?utm_source=oberaargau","PROFIL ANSEHEN")</f>
        <v>PROFIL ANSEHEN</v>
      </c>
    </row>
    <row r="477" spans="1:12" x14ac:dyDescent="0.2">
      <c r="A477" t="s">
        <v>1012</v>
      </c>
      <c r="B477" t="s">
        <v>1013</v>
      </c>
      <c r="C477" t="s">
        <v>13</v>
      </c>
      <c r="E477" t="s">
        <v>1014</v>
      </c>
      <c r="F477">
        <v>4900</v>
      </c>
      <c r="G477" t="s">
        <v>41</v>
      </c>
      <c r="H477" t="s">
        <v>16</v>
      </c>
      <c r="I477" t="s">
        <v>260</v>
      </c>
      <c r="J477" t="s">
        <v>261</v>
      </c>
      <c r="K477" t="s">
        <v>430</v>
      </c>
      <c r="L477" t="str">
        <f>HYPERLINK("https://business-monitor.ch/de/companies/159210-luescher-egli-ag?utm_source=oberaargau","PROFIL ANSEHEN")</f>
        <v>PROFIL ANSEHEN</v>
      </c>
    </row>
    <row r="478" spans="1:12" x14ac:dyDescent="0.2">
      <c r="A478" t="s">
        <v>1092</v>
      </c>
      <c r="B478" t="s">
        <v>1093</v>
      </c>
      <c r="C478" t="s">
        <v>13</v>
      </c>
      <c r="E478" t="s">
        <v>1094</v>
      </c>
      <c r="F478">
        <v>4900</v>
      </c>
      <c r="G478" t="s">
        <v>41</v>
      </c>
      <c r="H478" t="s">
        <v>16</v>
      </c>
      <c r="I478" t="s">
        <v>748</v>
      </c>
      <c r="J478" t="s">
        <v>749</v>
      </c>
      <c r="K478" t="s">
        <v>430</v>
      </c>
      <c r="L478" t="str">
        <f>HYPERLINK("https://business-monitor.ch/de/companies/1944-realini-malerei-gipserei-ag?utm_source=oberaargau","PROFIL ANSEHEN")</f>
        <v>PROFIL ANSEHEN</v>
      </c>
    </row>
    <row r="479" spans="1:12" x14ac:dyDescent="0.2">
      <c r="A479" t="s">
        <v>1330</v>
      </c>
      <c r="B479" t="s">
        <v>1331</v>
      </c>
      <c r="C479" t="s">
        <v>13</v>
      </c>
      <c r="E479" t="s">
        <v>1332</v>
      </c>
      <c r="F479">
        <v>4704</v>
      </c>
      <c r="G479" t="s">
        <v>221</v>
      </c>
      <c r="H479" t="s">
        <v>16</v>
      </c>
      <c r="I479" t="s">
        <v>565</v>
      </c>
      <c r="J479" t="s">
        <v>566</v>
      </c>
      <c r="K479" t="s">
        <v>430</v>
      </c>
      <c r="L479" t="str">
        <f>HYPERLINK("https://business-monitor.ch/de/companies/689331-baeckerei-tea-room-bieri-ag?utm_source=oberaargau","PROFIL ANSEHEN")</f>
        <v>PROFIL ANSEHEN</v>
      </c>
    </row>
    <row r="480" spans="1:12" x14ac:dyDescent="0.2">
      <c r="A480" t="s">
        <v>4897</v>
      </c>
      <c r="B480" t="s">
        <v>4898</v>
      </c>
      <c r="C480" t="s">
        <v>13</v>
      </c>
      <c r="E480" t="s">
        <v>22</v>
      </c>
      <c r="F480">
        <v>4539</v>
      </c>
      <c r="G480" t="s">
        <v>23</v>
      </c>
      <c r="H480" t="s">
        <v>16</v>
      </c>
      <c r="I480" t="s">
        <v>4899</v>
      </c>
      <c r="J480" t="s">
        <v>4900</v>
      </c>
      <c r="K480" t="s">
        <v>430</v>
      </c>
      <c r="L480" t="str">
        <f>HYPERLINK("https://business-monitor.ch/de/companies/117201-boss-info-ag?utm_source=oberaargau","PROFIL ANSEHEN")</f>
        <v>PROFIL ANSEHEN</v>
      </c>
    </row>
    <row r="481" spans="1:12" x14ac:dyDescent="0.2">
      <c r="A481" t="s">
        <v>12250</v>
      </c>
      <c r="B481" t="s">
        <v>12251</v>
      </c>
      <c r="C481" t="s">
        <v>202</v>
      </c>
      <c r="E481" t="s">
        <v>9493</v>
      </c>
      <c r="F481">
        <v>4912</v>
      </c>
      <c r="G481" t="s">
        <v>64</v>
      </c>
      <c r="H481" t="s">
        <v>16</v>
      </c>
      <c r="I481" t="s">
        <v>2569</v>
      </c>
      <c r="J481" t="s">
        <v>2570</v>
      </c>
      <c r="K481" t="s">
        <v>430</v>
      </c>
      <c r="L481" t="str">
        <f>HYPERLINK("https://business-monitor.ch/de/companies/1200063-gem-import-export-gmbh?utm_source=oberaargau","PROFIL ANSEHEN")</f>
        <v>PROFIL ANSEHEN</v>
      </c>
    </row>
    <row r="482" spans="1:12" x14ac:dyDescent="0.2">
      <c r="A482" t="s">
        <v>12240</v>
      </c>
      <c r="B482" t="s">
        <v>12241</v>
      </c>
      <c r="C482" t="s">
        <v>13</v>
      </c>
      <c r="D482" t="s">
        <v>12239</v>
      </c>
      <c r="E482" t="s">
        <v>419</v>
      </c>
      <c r="F482">
        <v>4913</v>
      </c>
      <c r="G482" t="s">
        <v>207</v>
      </c>
      <c r="H482" t="s">
        <v>16</v>
      </c>
      <c r="I482" t="s">
        <v>733</v>
      </c>
      <c r="J482" t="s">
        <v>734</v>
      </c>
      <c r="K482" t="s">
        <v>430</v>
      </c>
      <c r="L482" t="str">
        <f>HYPERLINK("https://business-monitor.ch/de/companies/1194638-cv-port-ii-ag?utm_source=oberaargau","PROFIL ANSEHEN")</f>
        <v>PROFIL ANSEHEN</v>
      </c>
    </row>
    <row r="483" spans="1:12" x14ac:dyDescent="0.2">
      <c r="A483" t="s">
        <v>850</v>
      </c>
      <c r="B483" t="s">
        <v>851</v>
      </c>
      <c r="C483" t="s">
        <v>13</v>
      </c>
      <c r="E483" t="s">
        <v>731</v>
      </c>
      <c r="F483">
        <v>4923</v>
      </c>
      <c r="G483" t="s">
        <v>732</v>
      </c>
      <c r="H483" t="s">
        <v>16</v>
      </c>
      <c r="I483" t="s">
        <v>420</v>
      </c>
      <c r="J483" t="s">
        <v>421</v>
      </c>
      <c r="K483" t="s">
        <v>430</v>
      </c>
      <c r="L483" t="str">
        <f>HYPERLINK("https://business-monitor.ch/de/companies/966567-schoeni-rent-ag?utm_source=oberaargau","PROFIL ANSEHEN")</f>
        <v>PROFIL ANSEHEN</v>
      </c>
    </row>
    <row r="484" spans="1:12" x14ac:dyDescent="0.2">
      <c r="A484" t="s">
        <v>1154</v>
      </c>
      <c r="B484" t="s">
        <v>10985</v>
      </c>
      <c r="C484" t="s">
        <v>202</v>
      </c>
      <c r="D484" t="s">
        <v>1155</v>
      </c>
      <c r="E484" t="s">
        <v>1156</v>
      </c>
      <c r="F484">
        <v>4900</v>
      </c>
      <c r="G484" t="s">
        <v>41</v>
      </c>
      <c r="H484" t="s">
        <v>16</v>
      </c>
      <c r="I484" t="s">
        <v>91</v>
      </c>
      <c r="J484" t="s">
        <v>92</v>
      </c>
      <c r="K484" t="s">
        <v>430</v>
      </c>
      <c r="L484" t="str">
        <f>HYPERLINK("https://business-monitor.ch/de/companies/59528-gxo-logistics-switzerland-s-a-g-l?utm_source=oberaargau","PROFIL ANSEHEN")</f>
        <v>PROFIL ANSEHEN</v>
      </c>
    </row>
    <row r="485" spans="1:12" x14ac:dyDescent="0.2">
      <c r="A485" t="s">
        <v>1131</v>
      </c>
      <c r="B485" t="s">
        <v>1132</v>
      </c>
      <c r="C485" t="s">
        <v>202</v>
      </c>
      <c r="E485" t="s">
        <v>1133</v>
      </c>
      <c r="F485">
        <v>4539</v>
      </c>
      <c r="G485" t="s">
        <v>1134</v>
      </c>
      <c r="H485" t="s">
        <v>16</v>
      </c>
      <c r="I485" t="s">
        <v>854</v>
      </c>
      <c r="J485" t="s">
        <v>855</v>
      </c>
      <c r="K485" t="s">
        <v>430</v>
      </c>
      <c r="L485" t="str">
        <f>HYPERLINK("https://business-monitor.ch/de/companies/353223-anea-gmbh?utm_source=oberaargau","PROFIL ANSEHEN")</f>
        <v>PROFIL ANSEHEN</v>
      </c>
    </row>
    <row r="486" spans="1:12" x14ac:dyDescent="0.2">
      <c r="A486" t="s">
        <v>915</v>
      </c>
      <c r="B486" t="s">
        <v>916</v>
      </c>
      <c r="C486" t="s">
        <v>13</v>
      </c>
      <c r="E486" t="s">
        <v>501</v>
      </c>
      <c r="F486">
        <v>4900</v>
      </c>
      <c r="G486" t="s">
        <v>41</v>
      </c>
      <c r="H486" t="s">
        <v>16</v>
      </c>
      <c r="I486" t="s">
        <v>570</v>
      </c>
      <c r="J486" t="s">
        <v>571</v>
      </c>
      <c r="K486" t="s">
        <v>430</v>
      </c>
      <c r="L486" t="str">
        <f>HYPERLINK("https://business-monitor.ch/de/companies/212818-asag-air-system-ag?utm_source=oberaargau","PROFIL ANSEHEN")</f>
        <v>PROFIL ANSEHEN</v>
      </c>
    </row>
    <row r="487" spans="1:12" x14ac:dyDescent="0.2">
      <c r="A487" t="s">
        <v>1231</v>
      </c>
      <c r="B487" t="s">
        <v>1232</v>
      </c>
      <c r="C487" t="s">
        <v>13</v>
      </c>
      <c r="E487" t="s">
        <v>1233</v>
      </c>
      <c r="F487">
        <v>4917</v>
      </c>
      <c r="G487" t="s">
        <v>376</v>
      </c>
      <c r="H487" t="s">
        <v>16</v>
      </c>
      <c r="I487" t="s">
        <v>679</v>
      </c>
      <c r="J487" t="s">
        <v>680</v>
      </c>
      <c r="K487" t="s">
        <v>430</v>
      </c>
      <c r="L487" t="str">
        <f>HYPERLINK("https://business-monitor.ch/de/companies/203385-lanz-ag?utm_source=oberaargau","PROFIL ANSEHEN")</f>
        <v>PROFIL ANSEHEN</v>
      </c>
    </row>
    <row r="488" spans="1:12" x14ac:dyDescent="0.2">
      <c r="A488" t="s">
        <v>9442</v>
      </c>
      <c r="B488" t="s">
        <v>9443</v>
      </c>
      <c r="C488" t="s">
        <v>13</v>
      </c>
      <c r="E488" t="s">
        <v>9444</v>
      </c>
      <c r="F488">
        <v>4900</v>
      </c>
      <c r="G488" t="s">
        <v>41</v>
      </c>
      <c r="H488" t="s">
        <v>16</v>
      </c>
      <c r="I488" t="s">
        <v>917</v>
      </c>
      <c r="J488" t="s">
        <v>918</v>
      </c>
      <c r="K488" t="s">
        <v>430</v>
      </c>
      <c r="L488" t="str">
        <f>HYPERLINK("https://business-monitor.ch/de/companies/4566-hesab-ag?utm_source=oberaargau","PROFIL ANSEHEN")</f>
        <v>PROFIL ANSEHEN</v>
      </c>
    </row>
    <row r="489" spans="1:12" x14ac:dyDescent="0.2">
      <c r="A489" t="s">
        <v>283</v>
      </c>
      <c r="B489" t="s">
        <v>284</v>
      </c>
      <c r="C489" t="s">
        <v>13</v>
      </c>
      <c r="E489" t="s">
        <v>285</v>
      </c>
      <c r="F489">
        <v>4537</v>
      </c>
      <c r="G489" t="s">
        <v>113</v>
      </c>
      <c r="H489" t="s">
        <v>16</v>
      </c>
      <c r="I489" t="s">
        <v>227</v>
      </c>
      <c r="J489" t="s">
        <v>228</v>
      </c>
      <c r="K489" t="s">
        <v>430</v>
      </c>
      <c r="L489" t="str">
        <f>HYPERLINK("https://business-monitor.ch/de/companies/87054-tomwood-ag?utm_source=oberaargau","PROFIL ANSEHEN")</f>
        <v>PROFIL ANSEHEN</v>
      </c>
    </row>
    <row r="490" spans="1:12" x14ac:dyDescent="0.2">
      <c r="A490" t="s">
        <v>488</v>
      </c>
      <c r="B490" t="s">
        <v>489</v>
      </c>
      <c r="C490" t="s">
        <v>13</v>
      </c>
      <c r="D490" t="s">
        <v>490</v>
      </c>
      <c r="E490" t="s">
        <v>491</v>
      </c>
      <c r="F490">
        <v>4900</v>
      </c>
      <c r="G490" t="s">
        <v>41</v>
      </c>
      <c r="H490" t="s">
        <v>16</v>
      </c>
      <c r="I490" t="s">
        <v>492</v>
      </c>
      <c r="J490" t="s">
        <v>493</v>
      </c>
      <c r="K490" t="s">
        <v>430</v>
      </c>
      <c r="L490" t="str">
        <f>HYPERLINK("https://business-monitor.ch/de/companies/724523-x10d-ag?utm_source=oberaargau","PROFIL ANSEHEN")</f>
        <v>PROFIL ANSEHEN</v>
      </c>
    </row>
    <row r="491" spans="1:12" x14ac:dyDescent="0.2">
      <c r="A491" t="s">
        <v>688</v>
      </c>
      <c r="B491" t="s">
        <v>689</v>
      </c>
      <c r="C491" t="s">
        <v>13</v>
      </c>
      <c r="E491" t="s">
        <v>690</v>
      </c>
      <c r="F491">
        <v>4538</v>
      </c>
      <c r="G491" t="s">
        <v>71</v>
      </c>
      <c r="H491" t="s">
        <v>16</v>
      </c>
      <c r="I491" t="s">
        <v>100</v>
      </c>
      <c r="J491" t="s">
        <v>101</v>
      </c>
      <c r="K491" t="s">
        <v>430</v>
      </c>
      <c r="L491" t="str">
        <f>HYPERLINK("https://business-monitor.ch/de/companies/173668-tanklager-oberbipp-ag?utm_source=oberaargau","PROFIL ANSEHEN")</f>
        <v>PROFIL ANSEHEN</v>
      </c>
    </row>
    <row r="492" spans="1:12" x14ac:dyDescent="0.2">
      <c r="A492" t="s">
        <v>12070</v>
      </c>
      <c r="B492" t="s">
        <v>12071</v>
      </c>
      <c r="C492" t="s">
        <v>13</v>
      </c>
      <c r="D492" t="s">
        <v>12072</v>
      </c>
      <c r="E492" t="s">
        <v>1639</v>
      </c>
      <c r="F492">
        <v>3373</v>
      </c>
      <c r="G492" t="s">
        <v>2429</v>
      </c>
      <c r="H492" t="s">
        <v>16</v>
      </c>
      <c r="I492" t="s">
        <v>3344</v>
      </c>
      <c r="J492" t="s">
        <v>3345</v>
      </c>
      <c r="K492" t="s">
        <v>430</v>
      </c>
      <c r="L492" t="str">
        <f>HYPERLINK("https://business-monitor.ch/de/companies/1186603-smart-spitex-ag?utm_source=oberaargau","PROFIL ANSEHEN")</f>
        <v>PROFIL ANSEHEN</v>
      </c>
    </row>
    <row r="493" spans="1:12" x14ac:dyDescent="0.2">
      <c r="A493" t="s">
        <v>10425</v>
      </c>
      <c r="B493" t="s">
        <v>10426</v>
      </c>
      <c r="C493" t="s">
        <v>13</v>
      </c>
      <c r="E493" t="s">
        <v>501</v>
      </c>
      <c r="F493">
        <v>4900</v>
      </c>
      <c r="G493" t="s">
        <v>41</v>
      </c>
      <c r="H493" t="s">
        <v>16</v>
      </c>
      <c r="I493" t="s">
        <v>157</v>
      </c>
      <c r="J493" t="s">
        <v>158</v>
      </c>
      <c r="K493" t="s">
        <v>430</v>
      </c>
      <c r="L493" t="str">
        <f>HYPERLINK("https://business-monitor.ch/de/companies/152652-ducksch-anliker-immo-management-ag?utm_source=oberaargau","PROFIL ANSEHEN")</f>
        <v>PROFIL ANSEHEN</v>
      </c>
    </row>
    <row r="494" spans="1:12" x14ac:dyDescent="0.2">
      <c r="A494" t="s">
        <v>2211</v>
      </c>
      <c r="B494" t="s">
        <v>2212</v>
      </c>
      <c r="C494" t="s">
        <v>202</v>
      </c>
      <c r="E494" t="s">
        <v>1261</v>
      </c>
      <c r="F494">
        <v>3380</v>
      </c>
      <c r="G494" t="s">
        <v>29</v>
      </c>
      <c r="H494" t="s">
        <v>16</v>
      </c>
      <c r="I494" t="s">
        <v>2213</v>
      </c>
      <c r="J494" t="s">
        <v>2214</v>
      </c>
      <c r="K494" t="s">
        <v>430</v>
      </c>
      <c r="L494" t="str">
        <f>HYPERLINK("https://business-monitor.ch/de/companies/1067726-mind-revolution-gmbh?utm_source=oberaargau","PROFIL ANSEHEN")</f>
        <v>PROFIL ANSEHEN</v>
      </c>
    </row>
    <row r="495" spans="1:12" x14ac:dyDescent="0.2">
      <c r="A495" t="s">
        <v>1777</v>
      </c>
      <c r="B495" t="s">
        <v>1778</v>
      </c>
      <c r="C495" t="s">
        <v>13</v>
      </c>
      <c r="E495" t="s">
        <v>1779</v>
      </c>
      <c r="F495">
        <v>4900</v>
      </c>
      <c r="G495" t="s">
        <v>41</v>
      </c>
      <c r="H495" t="s">
        <v>16</v>
      </c>
      <c r="I495" t="s">
        <v>157</v>
      </c>
      <c r="J495" t="s">
        <v>158</v>
      </c>
      <c r="K495" t="s">
        <v>430</v>
      </c>
      <c r="L495" t="str">
        <f>HYPERLINK("https://business-monitor.ch/de/companies/43278-bernhard-hugi-immobilien-ag?utm_source=oberaargau","PROFIL ANSEHEN")</f>
        <v>PROFIL ANSEHEN</v>
      </c>
    </row>
    <row r="496" spans="1:12" x14ac:dyDescent="0.2">
      <c r="A496" t="s">
        <v>812</v>
      </c>
      <c r="B496" t="s">
        <v>813</v>
      </c>
      <c r="C496" t="s">
        <v>13</v>
      </c>
      <c r="E496" t="s">
        <v>166</v>
      </c>
      <c r="F496">
        <v>4900</v>
      </c>
      <c r="G496" t="s">
        <v>41</v>
      </c>
      <c r="H496" t="s">
        <v>16</v>
      </c>
      <c r="I496" t="s">
        <v>157</v>
      </c>
      <c r="J496" t="s">
        <v>158</v>
      </c>
      <c r="K496" t="s">
        <v>430</v>
      </c>
      <c r="L496" t="str">
        <f>HYPERLINK("https://business-monitor.ch/de/companies/356782-witschi-immobilien-ag?utm_source=oberaargau","PROFIL ANSEHEN")</f>
        <v>PROFIL ANSEHEN</v>
      </c>
    </row>
    <row r="497" spans="1:12" x14ac:dyDescent="0.2">
      <c r="A497" t="s">
        <v>1451</v>
      </c>
      <c r="B497" t="s">
        <v>1452</v>
      </c>
      <c r="C497" t="s">
        <v>13</v>
      </c>
      <c r="E497" t="s">
        <v>1477</v>
      </c>
      <c r="F497">
        <v>4912</v>
      </c>
      <c r="G497" t="s">
        <v>64</v>
      </c>
      <c r="H497" t="s">
        <v>16</v>
      </c>
      <c r="I497" t="s">
        <v>1453</v>
      </c>
      <c r="J497" t="s">
        <v>1454</v>
      </c>
      <c r="K497" t="s">
        <v>430</v>
      </c>
      <c r="L497" t="str">
        <f>HYPERLINK("https://business-monitor.ch/de/companies/65629-wega-products-ag?utm_source=oberaargau","PROFIL ANSEHEN")</f>
        <v>PROFIL ANSEHEN</v>
      </c>
    </row>
    <row r="498" spans="1:12" x14ac:dyDescent="0.2">
      <c r="A498" t="s">
        <v>1411</v>
      </c>
      <c r="B498" t="s">
        <v>1412</v>
      </c>
      <c r="C498" t="s">
        <v>202</v>
      </c>
      <c r="E498" t="s">
        <v>1413</v>
      </c>
      <c r="F498">
        <v>4704</v>
      </c>
      <c r="G498" t="s">
        <v>221</v>
      </c>
      <c r="H498" t="s">
        <v>16</v>
      </c>
      <c r="I498" t="s">
        <v>1324</v>
      </c>
      <c r="J498" t="s">
        <v>1325</v>
      </c>
      <c r="K498" t="s">
        <v>430</v>
      </c>
      <c r="L498" t="str">
        <f>HYPERLINK("https://business-monitor.ch/de/companies/179186-design-planung-und-immobilien-gmbh?utm_source=oberaargau","PROFIL ANSEHEN")</f>
        <v>PROFIL ANSEHEN</v>
      </c>
    </row>
    <row r="499" spans="1:12" x14ac:dyDescent="0.2">
      <c r="A499" t="s">
        <v>13400</v>
      </c>
      <c r="B499" t="s">
        <v>13401</v>
      </c>
      <c r="C499" t="s">
        <v>202</v>
      </c>
      <c r="E499" t="s">
        <v>14176</v>
      </c>
      <c r="F499">
        <v>4912</v>
      </c>
      <c r="G499" t="s">
        <v>64</v>
      </c>
      <c r="H499" t="s">
        <v>16</v>
      </c>
      <c r="I499" t="s">
        <v>6274</v>
      </c>
      <c r="J499" t="s">
        <v>6275</v>
      </c>
      <c r="K499" t="s">
        <v>430</v>
      </c>
      <c r="L499" t="str">
        <f>HYPERLINK("https://business-monitor.ch/de/companies/1253344-hausi-s-dienstleistungen-gmbh?utm_source=oberaargau","PROFIL ANSEHEN")</f>
        <v>PROFIL ANSEHEN</v>
      </c>
    </row>
    <row r="500" spans="1:12" x14ac:dyDescent="0.2">
      <c r="A500" t="s">
        <v>8114</v>
      </c>
      <c r="B500" t="s">
        <v>8115</v>
      </c>
      <c r="C500" t="s">
        <v>202</v>
      </c>
      <c r="E500" t="s">
        <v>880</v>
      </c>
      <c r="F500">
        <v>3368</v>
      </c>
      <c r="G500" t="s">
        <v>308</v>
      </c>
      <c r="H500" t="s">
        <v>16</v>
      </c>
      <c r="I500" t="s">
        <v>603</v>
      </c>
      <c r="J500" t="s">
        <v>604</v>
      </c>
      <c r="K500" t="s">
        <v>430</v>
      </c>
      <c r="L500" t="str">
        <f>HYPERLINK("https://business-monitor.ch/de/companies/529875-michu-witschi-gmbh?utm_source=oberaargau","PROFIL ANSEHEN")</f>
        <v>PROFIL ANSEHEN</v>
      </c>
    </row>
    <row r="501" spans="1:12" x14ac:dyDescent="0.2">
      <c r="A501" t="s">
        <v>1147</v>
      </c>
      <c r="B501" t="s">
        <v>1148</v>
      </c>
      <c r="C501" t="s">
        <v>202</v>
      </c>
      <c r="E501" t="s">
        <v>1149</v>
      </c>
      <c r="F501">
        <v>4537</v>
      </c>
      <c r="G501" t="s">
        <v>113</v>
      </c>
      <c r="H501" t="s">
        <v>16</v>
      </c>
      <c r="I501" t="s">
        <v>331</v>
      </c>
      <c r="J501" t="s">
        <v>332</v>
      </c>
      <c r="K501" t="s">
        <v>430</v>
      </c>
      <c r="L501" t="str">
        <f>HYPERLINK("https://business-monitor.ch/de/companies/114094-moddec-gmbh?utm_source=oberaargau","PROFIL ANSEHEN")</f>
        <v>PROFIL ANSEHEN</v>
      </c>
    </row>
    <row r="502" spans="1:12" x14ac:dyDescent="0.2">
      <c r="A502" t="s">
        <v>745</v>
      </c>
      <c r="B502" t="s">
        <v>746</v>
      </c>
      <c r="C502" t="s">
        <v>13</v>
      </c>
      <c r="E502" t="s">
        <v>747</v>
      </c>
      <c r="F502">
        <v>4900</v>
      </c>
      <c r="G502" t="s">
        <v>41</v>
      </c>
      <c r="H502" t="s">
        <v>16</v>
      </c>
      <c r="I502" t="s">
        <v>748</v>
      </c>
      <c r="J502" t="s">
        <v>749</v>
      </c>
      <c r="K502" t="s">
        <v>430</v>
      </c>
      <c r="L502" t="str">
        <f>HYPERLINK("https://business-monitor.ch/de/companies/46076-giesser-ag?utm_source=oberaargau","PROFIL ANSEHEN")</f>
        <v>PROFIL ANSEHEN</v>
      </c>
    </row>
    <row r="503" spans="1:12" x14ac:dyDescent="0.2">
      <c r="A503" t="s">
        <v>703</v>
      </c>
      <c r="B503" t="s">
        <v>704</v>
      </c>
      <c r="C503" t="s">
        <v>13</v>
      </c>
      <c r="E503" t="s">
        <v>705</v>
      </c>
      <c r="F503">
        <v>4922</v>
      </c>
      <c r="G503" t="s">
        <v>99</v>
      </c>
      <c r="H503" t="s">
        <v>16</v>
      </c>
      <c r="I503" t="s">
        <v>134</v>
      </c>
      <c r="J503" t="s">
        <v>135</v>
      </c>
      <c r="K503" t="s">
        <v>430</v>
      </c>
      <c r="L503" t="str">
        <f>HYPERLINK("https://business-monitor.ch/de/companies/141519-h-r-grogg-ag?utm_source=oberaargau","PROFIL ANSEHEN")</f>
        <v>PROFIL ANSEHEN</v>
      </c>
    </row>
    <row r="504" spans="1:12" x14ac:dyDescent="0.2">
      <c r="A504" t="s">
        <v>1201</v>
      </c>
      <c r="B504" t="s">
        <v>1202</v>
      </c>
      <c r="C504" t="s">
        <v>84</v>
      </c>
      <c r="D504" t="s">
        <v>1203</v>
      </c>
      <c r="E504" t="s">
        <v>1204</v>
      </c>
      <c r="F504">
        <v>4934</v>
      </c>
      <c r="G504" t="s">
        <v>670</v>
      </c>
      <c r="H504" t="s">
        <v>16</v>
      </c>
      <c r="I504" t="s">
        <v>254</v>
      </c>
      <c r="J504" t="s">
        <v>255</v>
      </c>
      <c r="K504" t="s">
        <v>430</v>
      </c>
      <c r="L504" t="str">
        <f>HYPERLINK("https://business-monitor.ch/de/companies/53994-fernsehgenossenschaft-madiswil?utm_source=oberaargau","PROFIL ANSEHEN")</f>
        <v>PROFIL ANSEHEN</v>
      </c>
    </row>
    <row r="505" spans="1:12" x14ac:dyDescent="0.2">
      <c r="A505" t="s">
        <v>1550</v>
      </c>
      <c r="B505" t="s">
        <v>1551</v>
      </c>
      <c r="C505" t="s">
        <v>13</v>
      </c>
      <c r="E505" t="s">
        <v>1552</v>
      </c>
      <c r="F505">
        <v>4704</v>
      </c>
      <c r="G505" t="s">
        <v>221</v>
      </c>
      <c r="H505" t="s">
        <v>16</v>
      </c>
      <c r="I505" t="s">
        <v>1553</v>
      </c>
      <c r="J505" t="s">
        <v>1554</v>
      </c>
      <c r="K505" t="s">
        <v>430</v>
      </c>
      <c r="L505" t="str">
        <f>HYPERLINK("https://business-monitor.ch/de/companies/485986-ophardt-hygiene-ag?utm_source=oberaargau","PROFIL ANSEHEN")</f>
        <v>PROFIL ANSEHEN</v>
      </c>
    </row>
    <row r="506" spans="1:12" x14ac:dyDescent="0.2">
      <c r="A506" t="s">
        <v>2926</v>
      </c>
      <c r="B506" t="s">
        <v>9390</v>
      </c>
      <c r="C506" t="s">
        <v>13</v>
      </c>
      <c r="E506" t="s">
        <v>9391</v>
      </c>
      <c r="F506">
        <v>3375</v>
      </c>
      <c r="G506" t="s">
        <v>667</v>
      </c>
      <c r="H506" t="s">
        <v>16</v>
      </c>
      <c r="I506" t="s">
        <v>180</v>
      </c>
      <c r="J506" t="s">
        <v>181</v>
      </c>
      <c r="K506" t="s">
        <v>430</v>
      </c>
      <c r="L506" t="str">
        <f>HYPERLINK("https://business-monitor.ch/de/companies/55056-ingold-tools-ag?utm_source=oberaargau","PROFIL ANSEHEN")</f>
        <v>PROFIL ANSEHEN</v>
      </c>
    </row>
    <row r="507" spans="1:12" x14ac:dyDescent="0.2">
      <c r="A507" t="s">
        <v>328</v>
      </c>
      <c r="B507" t="s">
        <v>329</v>
      </c>
      <c r="C507" t="s">
        <v>13</v>
      </c>
      <c r="E507" t="s">
        <v>330</v>
      </c>
      <c r="F507">
        <v>4900</v>
      </c>
      <c r="G507" t="s">
        <v>41</v>
      </c>
      <c r="H507" t="s">
        <v>16</v>
      </c>
      <c r="I507" t="s">
        <v>331</v>
      </c>
      <c r="J507" t="s">
        <v>332</v>
      </c>
      <c r="K507" t="s">
        <v>430</v>
      </c>
      <c r="L507" t="str">
        <f>HYPERLINK("https://business-monitor.ch/de/companies/66063-fritz-born-ag?utm_source=oberaargau","PROFIL ANSEHEN")</f>
        <v>PROFIL ANSEHEN</v>
      </c>
    </row>
    <row r="508" spans="1:12" x14ac:dyDescent="0.2">
      <c r="A508" t="s">
        <v>930</v>
      </c>
      <c r="B508" t="s">
        <v>931</v>
      </c>
      <c r="C508" t="s">
        <v>13</v>
      </c>
      <c r="E508" t="s">
        <v>932</v>
      </c>
      <c r="F508">
        <v>4704</v>
      </c>
      <c r="G508" t="s">
        <v>221</v>
      </c>
      <c r="H508" t="s">
        <v>16</v>
      </c>
      <c r="I508" t="s">
        <v>175</v>
      </c>
      <c r="J508" t="s">
        <v>176</v>
      </c>
      <c r="K508" t="s">
        <v>430</v>
      </c>
      <c r="L508" t="str">
        <f>HYPERLINK("https://business-monitor.ch/de/companies/128052-autospritzwerk-mueller-ag?utm_source=oberaargau","PROFIL ANSEHEN")</f>
        <v>PROFIL ANSEHEN</v>
      </c>
    </row>
    <row r="509" spans="1:12" x14ac:dyDescent="0.2">
      <c r="A509" t="s">
        <v>1665</v>
      </c>
      <c r="B509" t="s">
        <v>13511</v>
      </c>
      <c r="C509" t="s">
        <v>13</v>
      </c>
      <c r="E509" t="s">
        <v>1666</v>
      </c>
      <c r="F509">
        <v>4900</v>
      </c>
      <c r="G509" t="s">
        <v>41</v>
      </c>
      <c r="H509" t="s">
        <v>16</v>
      </c>
      <c r="I509" t="s">
        <v>1446</v>
      </c>
      <c r="J509" t="s">
        <v>1447</v>
      </c>
      <c r="K509" t="s">
        <v>430</v>
      </c>
      <c r="L509" t="str">
        <f>HYPERLINK("https://business-monitor.ch/de/companies/546012-studer-sanitaer-ag?utm_source=oberaargau","PROFIL ANSEHEN")</f>
        <v>PROFIL ANSEHEN</v>
      </c>
    </row>
    <row r="510" spans="1:12" x14ac:dyDescent="0.2">
      <c r="A510" t="s">
        <v>1226</v>
      </c>
      <c r="B510" t="s">
        <v>1227</v>
      </c>
      <c r="C510" t="s">
        <v>84</v>
      </c>
      <c r="E510" t="s">
        <v>1228</v>
      </c>
      <c r="F510">
        <v>4900</v>
      </c>
      <c r="G510" t="s">
        <v>41</v>
      </c>
      <c r="H510" t="s">
        <v>16</v>
      </c>
      <c r="I510" t="s">
        <v>1229</v>
      </c>
      <c r="J510" t="s">
        <v>1230</v>
      </c>
      <c r="K510" t="s">
        <v>430</v>
      </c>
      <c r="L510" t="str">
        <f>HYPERLINK("https://business-monitor.ch/de/companies/194733-genossenschaft-probon-ch?utm_source=oberaargau","PROFIL ANSEHEN")</f>
        <v>PROFIL ANSEHEN</v>
      </c>
    </row>
    <row r="511" spans="1:12" x14ac:dyDescent="0.2">
      <c r="A511" t="s">
        <v>881</v>
      </c>
      <c r="B511" t="s">
        <v>882</v>
      </c>
      <c r="C511" t="s">
        <v>13</v>
      </c>
      <c r="E511" t="s">
        <v>883</v>
      </c>
      <c r="F511">
        <v>4900</v>
      </c>
      <c r="G511" t="s">
        <v>41</v>
      </c>
      <c r="H511" t="s">
        <v>16</v>
      </c>
      <c r="I511" t="s">
        <v>213</v>
      </c>
      <c r="J511" t="s">
        <v>214</v>
      </c>
      <c r="K511" t="s">
        <v>430</v>
      </c>
      <c r="L511" t="str">
        <f>HYPERLINK("https://business-monitor.ch/de/companies/182987-ambotec-ag?utm_source=oberaargau","PROFIL ANSEHEN")</f>
        <v>PROFIL ANSEHEN</v>
      </c>
    </row>
    <row r="512" spans="1:12" x14ac:dyDescent="0.2">
      <c r="A512" t="s">
        <v>1221</v>
      </c>
      <c r="B512" t="s">
        <v>1222</v>
      </c>
      <c r="C512" t="s">
        <v>13</v>
      </c>
      <c r="E512" t="s">
        <v>1223</v>
      </c>
      <c r="F512">
        <v>4900</v>
      </c>
      <c r="G512" t="s">
        <v>41</v>
      </c>
      <c r="H512" t="s">
        <v>16</v>
      </c>
      <c r="I512" t="s">
        <v>1224</v>
      </c>
      <c r="J512" t="s">
        <v>1225</v>
      </c>
      <c r="K512" t="s">
        <v>430</v>
      </c>
      <c r="L512" t="str">
        <f>HYPERLINK("https://business-monitor.ch/de/companies/84909-swiss-luggage-sl-ag?utm_source=oberaargau","PROFIL ANSEHEN")</f>
        <v>PROFIL ANSEHEN</v>
      </c>
    </row>
    <row r="513" spans="1:12" x14ac:dyDescent="0.2">
      <c r="A513" t="s">
        <v>1635</v>
      </c>
      <c r="B513" t="s">
        <v>1636</v>
      </c>
      <c r="C513" t="s">
        <v>13</v>
      </c>
      <c r="E513" t="s">
        <v>482</v>
      </c>
      <c r="F513">
        <v>4950</v>
      </c>
      <c r="G513" t="s">
        <v>15</v>
      </c>
      <c r="H513" t="s">
        <v>16</v>
      </c>
      <c r="I513" t="s">
        <v>524</v>
      </c>
      <c r="J513" t="s">
        <v>525</v>
      </c>
      <c r="K513" t="s">
        <v>430</v>
      </c>
      <c r="L513" t="str">
        <f>HYPERLINK("https://business-monitor.ch/de/companies/130485-woodwork-ag?utm_source=oberaargau","PROFIL ANSEHEN")</f>
        <v>PROFIL ANSEHEN</v>
      </c>
    </row>
    <row r="514" spans="1:12" x14ac:dyDescent="0.2">
      <c r="A514" t="s">
        <v>7839</v>
      </c>
      <c r="B514" t="s">
        <v>7840</v>
      </c>
      <c r="C514" t="s">
        <v>13</v>
      </c>
      <c r="E514" t="s">
        <v>550</v>
      </c>
      <c r="F514">
        <v>4900</v>
      </c>
      <c r="G514" t="s">
        <v>41</v>
      </c>
      <c r="H514" t="s">
        <v>16</v>
      </c>
      <c r="I514" t="s">
        <v>1097</v>
      </c>
      <c r="J514" t="s">
        <v>1098</v>
      </c>
      <c r="K514" t="s">
        <v>430</v>
      </c>
      <c r="L514" t="str">
        <f>HYPERLINK("https://business-monitor.ch/de/companies/1090008-smile365-ag?utm_source=oberaargau","PROFIL ANSEHEN")</f>
        <v>PROFIL ANSEHEN</v>
      </c>
    </row>
    <row r="515" spans="1:12" x14ac:dyDescent="0.2">
      <c r="A515" t="s">
        <v>701</v>
      </c>
      <c r="B515" t="s">
        <v>702</v>
      </c>
      <c r="C515" t="s">
        <v>13</v>
      </c>
      <c r="E515" t="s">
        <v>14374</v>
      </c>
      <c r="F515">
        <v>4934</v>
      </c>
      <c r="G515" t="s">
        <v>670</v>
      </c>
      <c r="H515" t="s">
        <v>16</v>
      </c>
      <c r="I515" t="s">
        <v>191</v>
      </c>
      <c r="J515" t="s">
        <v>192</v>
      </c>
      <c r="K515" t="s">
        <v>430</v>
      </c>
      <c r="L515" t="str">
        <f>HYPERLINK("https://business-monitor.ch/de/companies/268378-niederhauser-landmaschinen-ag?utm_source=oberaargau","PROFIL ANSEHEN")</f>
        <v>PROFIL ANSEHEN</v>
      </c>
    </row>
    <row r="516" spans="1:12" x14ac:dyDescent="0.2">
      <c r="A516" t="s">
        <v>1257</v>
      </c>
      <c r="B516" t="s">
        <v>1258</v>
      </c>
      <c r="C516" t="s">
        <v>13</v>
      </c>
      <c r="E516" t="s">
        <v>166</v>
      </c>
      <c r="F516">
        <v>4900</v>
      </c>
      <c r="G516" t="s">
        <v>41</v>
      </c>
      <c r="H516" t="s">
        <v>16</v>
      </c>
      <c r="I516" t="s">
        <v>167</v>
      </c>
      <c r="J516" t="s">
        <v>168</v>
      </c>
      <c r="K516" t="s">
        <v>430</v>
      </c>
      <c r="L516" t="str">
        <f>HYPERLINK("https://business-monitor.ch/de/companies/55625-witschi-baumanagement-ag?utm_source=oberaargau","PROFIL ANSEHEN")</f>
        <v>PROFIL ANSEHEN</v>
      </c>
    </row>
    <row r="517" spans="1:12" x14ac:dyDescent="0.2">
      <c r="A517" t="s">
        <v>1371</v>
      </c>
      <c r="B517" t="s">
        <v>1372</v>
      </c>
      <c r="C517" t="s">
        <v>202</v>
      </c>
      <c r="E517" t="s">
        <v>6569</v>
      </c>
      <c r="F517">
        <v>4900</v>
      </c>
      <c r="G517" t="s">
        <v>41</v>
      </c>
      <c r="H517" t="s">
        <v>16</v>
      </c>
      <c r="I517" t="s">
        <v>1212</v>
      </c>
      <c r="J517" t="s">
        <v>1213</v>
      </c>
      <c r="K517" t="s">
        <v>430</v>
      </c>
      <c r="L517" t="str">
        <f>HYPERLINK("https://business-monitor.ch/de/companies/314458-segelman-trust-gmbh?utm_source=oberaargau","PROFIL ANSEHEN")</f>
        <v>PROFIL ANSEHEN</v>
      </c>
    </row>
    <row r="518" spans="1:12" x14ac:dyDescent="0.2">
      <c r="A518" t="s">
        <v>1271</v>
      </c>
      <c r="B518" t="s">
        <v>1272</v>
      </c>
      <c r="C518" t="s">
        <v>13</v>
      </c>
      <c r="E518" t="s">
        <v>1273</v>
      </c>
      <c r="F518">
        <v>4950</v>
      </c>
      <c r="G518" t="s">
        <v>15</v>
      </c>
      <c r="H518" t="s">
        <v>16</v>
      </c>
      <c r="I518" t="s">
        <v>1274</v>
      </c>
      <c r="J518" t="s">
        <v>1275</v>
      </c>
      <c r="K518" t="s">
        <v>430</v>
      </c>
      <c r="L518" t="str">
        <f>HYPERLINK("https://business-monitor.ch/de/companies/61457-graenicher-ag-huttwil?utm_source=oberaargau","PROFIL ANSEHEN")</f>
        <v>PROFIL ANSEHEN</v>
      </c>
    </row>
    <row r="519" spans="1:12" x14ac:dyDescent="0.2">
      <c r="A519" t="s">
        <v>814</v>
      </c>
      <c r="B519" t="s">
        <v>815</v>
      </c>
      <c r="C519" t="s">
        <v>13</v>
      </c>
      <c r="E519" t="s">
        <v>816</v>
      </c>
      <c r="F519">
        <v>4934</v>
      </c>
      <c r="G519" t="s">
        <v>670</v>
      </c>
      <c r="H519" t="s">
        <v>16</v>
      </c>
      <c r="I519" t="s">
        <v>331</v>
      </c>
      <c r="J519" t="s">
        <v>332</v>
      </c>
      <c r="K519" t="s">
        <v>430</v>
      </c>
      <c r="L519" t="str">
        <f>HYPERLINK("https://business-monitor.ch/de/companies/249583-blumatech-ag?utm_source=oberaargau","PROFIL ANSEHEN")</f>
        <v>PROFIL ANSEHEN</v>
      </c>
    </row>
    <row r="520" spans="1:12" x14ac:dyDescent="0.2">
      <c r="A520" t="s">
        <v>1344</v>
      </c>
      <c r="B520" t="s">
        <v>1345</v>
      </c>
      <c r="C520" t="s">
        <v>13</v>
      </c>
      <c r="E520" t="s">
        <v>1346</v>
      </c>
      <c r="F520">
        <v>4950</v>
      </c>
      <c r="G520" t="s">
        <v>15</v>
      </c>
      <c r="H520" t="s">
        <v>16</v>
      </c>
      <c r="I520" t="s">
        <v>232</v>
      </c>
      <c r="J520" t="s">
        <v>233</v>
      </c>
      <c r="K520" t="s">
        <v>430</v>
      </c>
      <c r="L520" t="str">
        <f>HYPERLINK("https://business-monitor.ch/de/companies/5845-interrevi-ag?utm_source=oberaargau","PROFIL ANSEHEN")</f>
        <v>PROFIL ANSEHEN</v>
      </c>
    </row>
    <row r="521" spans="1:12" x14ac:dyDescent="0.2">
      <c r="A521" t="s">
        <v>1526</v>
      </c>
      <c r="B521" t="s">
        <v>1527</v>
      </c>
      <c r="C521" t="s">
        <v>13</v>
      </c>
      <c r="E521" t="s">
        <v>1156</v>
      </c>
      <c r="F521">
        <v>4900</v>
      </c>
      <c r="G521" t="s">
        <v>41</v>
      </c>
      <c r="H521" t="s">
        <v>16</v>
      </c>
      <c r="I521" t="s">
        <v>1528</v>
      </c>
      <c r="J521" t="s">
        <v>1529</v>
      </c>
      <c r="K521" t="s">
        <v>430</v>
      </c>
      <c r="L521" t="str">
        <f>HYPERLINK("https://business-monitor.ch/de/companies/1069848-bracher-und-partner-notariat-ag?utm_source=oberaargau","PROFIL ANSEHEN")</f>
        <v>PROFIL ANSEHEN</v>
      </c>
    </row>
    <row r="522" spans="1:12" x14ac:dyDescent="0.2">
      <c r="A522" t="s">
        <v>1507</v>
      </c>
      <c r="B522" t="s">
        <v>1508</v>
      </c>
      <c r="C522" t="s">
        <v>13</v>
      </c>
      <c r="E522" t="s">
        <v>1509</v>
      </c>
      <c r="F522">
        <v>4900</v>
      </c>
      <c r="G522" t="s">
        <v>41</v>
      </c>
      <c r="H522" t="s">
        <v>16</v>
      </c>
      <c r="I522" t="s">
        <v>1510</v>
      </c>
      <c r="J522" t="s">
        <v>1511</v>
      </c>
      <c r="K522" t="s">
        <v>430</v>
      </c>
      <c r="L522" t="str">
        <f>HYPERLINK("https://business-monitor.ch/de/companies/136977-ruckstuhl-ag?utm_source=oberaargau","PROFIL ANSEHEN")</f>
        <v>PROFIL ANSEHEN</v>
      </c>
    </row>
    <row r="523" spans="1:12" x14ac:dyDescent="0.2">
      <c r="A523" t="s">
        <v>10737</v>
      </c>
      <c r="B523" t="s">
        <v>5855</v>
      </c>
      <c r="C523" t="s">
        <v>13</v>
      </c>
      <c r="E523" t="s">
        <v>5856</v>
      </c>
      <c r="F523">
        <v>4900</v>
      </c>
      <c r="G523" t="s">
        <v>41</v>
      </c>
      <c r="H523" t="s">
        <v>16</v>
      </c>
      <c r="I523" t="s">
        <v>1535</v>
      </c>
      <c r="J523" t="s">
        <v>1536</v>
      </c>
      <c r="K523" t="s">
        <v>430</v>
      </c>
      <c r="L523" t="str">
        <f>HYPERLINK("https://business-monitor.ch/de/companies/1096532-blaeuenstein-ag-garten-gestaltung?utm_source=oberaargau","PROFIL ANSEHEN")</f>
        <v>PROFIL ANSEHEN</v>
      </c>
    </row>
    <row r="524" spans="1:12" x14ac:dyDescent="0.2">
      <c r="A524" t="s">
        <v>1002</v>
      </c>
      <c r="B524" t="s">
        <v>1003</v>
      </c>
      <c r="C524" t="s">
        <v>13</v>
      </c>
      <c r="E524" t="s">
        <v>1004</v>
      </c>
      <c r="F524">
        <v>4911</v>
      </c>
      <c r="G524" t="s">
        <v>1005</v>
      </c>
      <c r="H524" t="s">
        <v>16</v>
      </c>
      <c r="I524" t="s">
        <v>191</v>
      </c>
      <c r="J524" t="s">
        <v>192</v>
      </c>
      <c r="K524" t="s">
        <v>430</v>
      </c>
      <c r="L524" t="str">
        <f>HYPERLINK("https://business-monitor.ch/de/companies/619614-gerber-reinmann-ag?utm_source=oberaargau","PROFIL ANSEHEN")</f>
        <v>PROFIL ANSEHEN</v>
      </c>
    </row>
    <row r="525" spans="1:12" x14ac:dyDescent="0.2">
      <c r="A525" t="s">
        <v>12965</v>
      </c>
      <c r="B525" t="s">
        <v>12966</v>
      </c>
      <c r="C525" t="s">
        <v>13</v>
      </c>
      <c r="D525" t="s">
        <v>11569</v>
      </c>
      <c r="E525" t="s">
        <v>11570</v>
      </c>
      <c r="F525">
        <v>4955</v>
      </c>
      <c r="G525" t="s">
        <v>684</v>
      </c>
      <c r="H525" t="s">
        <v>16</v>
      </c>
      <c r="I525" t="s">
        <v>304</v>
      </c>
      <c r="J525" t="s">
        <v>305</v>
      </c>
      <c r="K525" t="s">
        <v>430</v>
      </c>
      <c r="L525" t="str">
        <f>HYPERLINK("https://business-monitor.ch/de/companies/1234590-mammut-energie-ag?utm_source=oberaargau","PROFIL ANSEHEN")</f>
        <v>PROFIL ANSEHEN</v>
      </c>
    </row>
    <row r="526" spans="1:12" x14ac:dyDescent="0.2">
      <c r="A526" t="s">
        <v>762</v>
      </c>
      <c r="B526" t="s">
        <v>763</v>
      </c>
      <c r="C526" t="s">
        <v>13</v>
      </c>
      <c r="E526" t="s">
        <v>14363</v>
      </c>
      <c r="F526">
        <v>3368</v>
      </c>
      <c r="G526" t="s">
        <v>308</v>
      </c>
      <c r="H526" t="s">
        <v>16</v>
      </c>
      <c r="I526" t="s">
        <v>764</v>
      </c>
      <c r="J526" t="s">
        <v>765</v>
      </c>
      <c r="K526" t="s">
        <v>430</v>
      </c>
      <c r="L526" t="str">
        <f>HYPERLINK("https://business-monitor.ch/de/companies/560493-mdc-max-daetwyler-ag?utm_source=oberaargau","PROFIL ANSEHEN")</f>
        <v>PROFIL ANSEHEN</v>
      </c>
    </row>
    <row r="527" spans="1:12" x14ac:dyDescent="0.2">
      <c r="A527" t="s">
        <v>962</v>
      </c>
      <c r="B527" t="s">
        <v>963</v>
      </c>
      <c r="C527" t="s">
        <v>13</v>
      </c>
      <c r="E527" t="s">
        <v>964</v>
      </c>
      <c r="F527">
        <v>3475</v>
      </c>
      <c r="G527" t="s">
        <v>965</v>
      </c>
      <c r="H527" t="s">
        <v>16</v>
      </c>
      <c r="I527" t="s">
        <v>196</v>
      </c>
      <c r="J527" t="s">
        <v>197</v>
      </c>
      <c r="K527" t="s">
        <v>430</v>
      </c>
      <c r="L527" t="str">
        <f>HYPERLINK("https://business-monitor.ch/de/companies/173512-hiltbrunner-ag?utm_source=oberaargau","PROFIL ANSEHEN")</f>
        <v>PROFIL ANSEHEN</v>
      </c>
    </row>
    <row r="528" spans="1:12" x14ac:dyDescent="0.2">
      <c r="A528" t="s">
        <v>999</v>
      </c>
      <c r="B528" t="s">
        <v>1000</v>
      </c>
      <c r="C528" t="s">
        <v>13</v>
      </c>
      <c r="E528" t="s">
        <v>1001</v>
      </c>
      <c r="F528">
        <v>4938</v>
      </c>
      <c r="G528" t="s">
        <v>618</v>
      </c>
      <c r="H528" t="s">
        <v>16</v>
      </c>
      <c r="I528" t="s">
        <v>624</v>
      </c>
      <c r="J528" t="s">
        <v>625</v>
      </c>
      <c r="K528" t="s">
        <v>430</v>
      </c>
      <c r="L528" t="str">
        <f>HYPERLINK("https://business-monitor.ch/de/companies/301400-zaugg-ag-rohrbach?utm_source=oberaargau","PROFIL ANSEHEN")</f>
        <v>PROFIL ANSEHEN</v>
      </c>
    </row>
    <row r="529" spans="1:12" x14ac:dyDescent="0.2">
      <c r="A529" t="s">
        <v>1438</v>
      </c>
      <c r="B529" t="s">
        <v>1439</v>
      </c>
      <c r="C529" t="s">
        <v>13</v>
      </c>
      <c r="D529" t="s">
        <v>1440</v>
      </c>
      <c r="E529" t="s">
        <v>541</v>
      </c>
      <c r="F529">
        <v>3360</v>
      </c>
      <c r="G529" t="s">
        <v>35</v>
      </c>
      <c r="H529" t="s">
        <v>16</v>
      </c>
      <c r="I529" t="s">
        <v>289</v>
      </c>
      <c r="J529" t="s">
        <v>290</v>
      </c>
      <c r="K529" t="s">
        <v>430</v>
      </c>
      <c r="L529" t="str">
        <f>HYPERLINK("https://business-monitor.ch/de/companies/662730-sealeco-ag?utm_source=oberaargau","PROFIL ANSEHEN")</f>
        <v>PROFIL ANSEHEN</v>
      </c>
    </row>
    <row r="530" spans="1:12" x14ac:dyDescent="0.2">
      <c r="A530" t="s">
        <v>1095</v>
      </c>
      <c r="B530" t="s">
        <v>1096</v>
      </c>
      <c r="C530" t="s">
        <v>13</v>
      </c>
      <c r="E530" t="s">
        <v>550</v>
      </c>
      <c r="F530">
        <v>4900</v>
      </c>
      <c r="G530" t="s">
        <v>41</v>
      </c>
      <c r="H530" t="s">
        <v>16</v>
      </c>
      <c r="I530" t="s">
        <v>139</v>
      </c>
      <c r="J530" t="s">
        <v>140</v>
      </c>
      <c r="K530" t="s">
        <v>430</v>
      </c>
      <c r="L530" t="str">
        <f>HYPERLINK("https://business-monitor.ch/de/companies/1038659-health-service-365-ag?utm_source=oberaargau","PROFIL ANSEHEN")</f>
        <v>PROFIL ANSEHEN</v>
      </c>
    </row>
    <row r="531" spans="1:12" x14ac:dyDescent="0.2">
      <c r="A531" t="s">
        <v>1799</v>
      </c>
      <c r="B531" t="s">
        <v>1800</v>
      </c>
      <c r="C531" t="s">
        <v>202</v>
      </c>
      <c r="E531" t="s">
        <v>1266</v>
      </c>
      <c r="F531">
        <v>4900</v>
      </c>
      <c r="G531" t="s">
        <v>41</v>
      </c>
      <c r="H531" t="s">
        <v>16</v>
      </c>
      <c r="I531" t="s">
        <v>153</v>
      </c>
      <c r="J531" t="s">
        <v>154</v>
      </c>
      <c r="K531" t="s">
        <v>430</v>
      </c>
      <c r="L531" t="str">
        <f>HYPERLINK("https://business-monitor.ch/de/companies/345511-rhyton-gmbh?utm_source=oberaargau","PROFIL ANSEHEN")</f>
        <v>PROFIL ANSEHEN</v>
      </c>
    </row>
    <row r="532" spans="1:12" x14ac:dyDescent="0.2">
      <c r="A532" t="s">
        <v>567</v>
      </c>
      <c r="B532" t="s">
        <v>568</v>
      </c>
      <c r="C532" t="s">
        <v>13</v>
      </c>
      <c r="E532" t="s">
        <v>569</v>
      </c>
      <c r="F532">
        <v>3360</v>
      </c>
      <c r="G532" t="s">
        <v>35</v>
      </c>
      <c r="H532" t="s">
        <v>16</v>
      </c>
      <c r="I532" t="s">
        <v>570</v>
      </c>
      <c r="J532" t="s">
        <v>571</v>
      </c>
      <c r="K532" t="s">
        <v>430</v>
      </c>
      <c r="L532" t="str">
        <f>HYPERLINK("https://business-monitor.ch/de/companies/97331-ms-technologie-ag?utm_source=oberaargau","PROFIL ANSEHEN")</f>
        <v>PROFIL ANSEHEN</v>
      </c>
    </row>
    <row r="533" spans="1:12" x14ac:dyDescent="0.2">
      <c r="A533" t="s">
        <v>826</v>
      </c>
      <c r="B533" t="s">
        <v>827</v>
      </c>
      <c r="C533" t="s">
        <v>13</v>
      </c>
      <c r="E533" t="s">
        <v>550</v>
      </c>
      <c r="F533">
        <v>4900</v>
      </c>
      <c r="G533" t="s">
        <v>41</v>
      </c>
      <c r="H533" t="s">
        <v>16</v>
      </c>
      <c r="I533" t="s">
        <v>96</v>
      </c>
      <c r="J533" t="s">
        <v>97</v>
      </c>
      <c r="K533" t="s">
        <v>430</v>
      </c>
      <c r="L533" t="str">
        <f>HYPERLINK("https://business-monitor.ch/de/companies/533332-reitsport-ch-arena-ag?utm_source=oberaargau","PROFIL ANSEHEN")</f>
        <v>PROFIL ANSEHEN</v>
      </c>
    </row>
    <row r="534" spans="1:12" x14ac:dyDescent="0.2">
      <c r="A534" t="s">
        <v>4465</v>
      </c>
      <c r="B534" t="s">
        <v>4466</v>
      </c>
      <c r="C534" t="s">
        <v>13</v>
      </c>
      <c r="E534" t="s">
        <v>4467</v>
      </c>
      <c r="F534">
        <v>4900</v>
      </c>
      <c r="G534" t="s">
        <v>41</v>
      </c>
      <c r="H534" t="s">
        <v>16</v>
      </c>
      <c r="I534" t="s">
        <v>4247</v>
      </c>
      <c r="J534" t="s">
        <v>4248</v>
      </c>
      <c r="K534" t="s">
        <v>430</v>
      </c>
      <c r="L534" t="str">
        <f>HYPERLINK("https://business-monitor.ch/de/companies/720968-neurozentrum-oberaargau-ag?utm_source=oberaargau","PROFIL ANSEHEN")</f>
        <v>PROFIL ANSEHEN</v>
      </c>
    </row>
    <row r="535" spans="1:12" x14ac:dyDescent="0.2">
      <c r="A535" t="s">
        <v>1311</v>
      </c>
      <c r="B535" t="s">
        <v>1312</v>
      </c>
      <c r="C535" t="s">
        <v>13</v>
      </c>
      <c r="E535" t="s">
        <v>1365</v>
      </c>
      <c r="F535">
        <v>4923</v>
      </c>
      <c r="G535" t="s">
        <v>732</v>
      </c>
      <c r="H535" t="s">
        <v>16</v>
      </c>
      <c r="I535" t="s">
        <v>391</v>
      </c>
      <c r="J535" t="s">
        <v>392</v>
      </c>
      <c r="K535" t="s">
        <v>430</v>
      </c>
      <c r="L535" t="str">
        <f>HYPERLINK("https://business-monitor.ch/de/companies/203136-bsb-mechanik-ag?utm_source=oberaargau","PROFIL ANSEHEN")</f>
        <v>PROFIL ANSEHEN</v>
      </c>
    </row>
    <row r="536" spans="1:12" x14ac:dyDescent="0.2">
      <c r="A536" t="s">
        <v>13188</v>
      </c>
      <c r="B536" t="s">
        <v>2988</v>
      </c>
      <c r="C536" t="s">
        <v>13</v>
      </c>
      <c r="E536" t="s">
        <v>1629</v>
      </c>
      <c r="F536">
        <v>3368</v>
      </c>
      <c r="G536" t="s">
        <v>308</v>
      </c>
      <c r="H536" t="s">
        <v>16</v>
      </c>
      <c r="I536" t="s">
        <v>781</v>
      </c>
      <c r="J536" t="s">
        <v>782</v>
      </c>
      <c r="K536" t="s">
        <v>430</v>
      </c>
      <c r="L536" t="str">
        <f>HYPERLINK("https://business-monitor.ch/de/companies/1241253-schaer-landtechnik-ag?utm_source=oberaargau","PROFIL ANSEHEN")</f>
        <v>PROFIL ANSEHEN</v>
      </c>
    </row>
    <row r="537" spans="1:12" x14ac:dyDescent="0.2">
      <c r="A537" t="s">
        <v>1085</v>
      </c>
      <c r="B537" t="s">
        <v>1086</v>
      </c>
      <c r="C537" t="s">
        <v>13</v>
      </c>
      <c r="E537" t="s">
        <v>1087</v>
      </c>
      <c r="F537">
        <v>3360</v>
      </c>
      <c r="G537" t="s">
        <v>35</v>
      </c>
      <c r="H537" t="s">
        <v>16</v>
      </c>
      <c r="I537" t="s">
        <v>570</v>
      </c>
      <c r="J537" t="s">
        <v>571</v>
      </c>
      <c r="K537" t="s">
        <v>430</v>
      </c>
      <c r="L537" t="str">
        <f>HYPERLINK("https://business-monitor.ch/de/companies/106027-tech-ag-herzogenbuchsee?utm_source=oberaargau","PROFIL ANSEHEN")</f>
        <v>PROFIL ANSEHEN</v>
      </c>
    </row>
    <row r="538" spans="1:12" x14ac:dyDescent="0.2">
      <c r="A538" t="s">
        <v>10941</v>
      </c>
      <c r="B538" t="s">
        <v>10942</v>
      </c>
      <c r="C538" t="s">
        <v>13</v>
      </c>
      <c r="E538" t="s">
        <v>9851</v>
      </c>
      <c r="F538">
        <v>4900</v>
      </c>
      <c r="G538" t="s">
        <v>41</v>
      </c>
      <c r="H538" t="s">
        <v>16</v>
      </c>
      <c r="I538" t="s">
        <v>6334</v>
      </c>
      <c r="J538" t="s">
        <v>6335</v>
      </c>
      <c r="K538" t="s">
        <v>430</v>
      </c>
      <c r="L538" t="str">
        <f>HYPERLINK("https://business-monitor.ch/de/companies/1100020-oberlimatte-ag-wohn-und-familienbegleitung?utm_source=oberaargau","PROFIL ANSEHEN")</f>
        <v>PROFIL ANSEHEN</v>
      </c>
    </row>
    <row r="539" spans="1:12" x14ac:dyDescent="0.2">
      <c r="A539" t="s">
        <v>1430</v>
      </c>
      <c r="B539" t="s">
        <v>1431</v>
      </c>
      <c r="C539" t="s">
        <v>13</v>
      </c>
      <c r="E539" t="s">
        <v>1432</v>
      </c>
      <c r="F539">
        <v>4900</v>
      </c>
      <c r="G539" t="s">
        <v>41</v>
      </c>
      <c r="H539" t="s">
        <v>16</v>
      </c>
      <c r="I539" t="s">
        <v>788</v>
      </c>
      <c r="J539" t="s">
        <v>789</v>
      </c>
      <c r="K539" t="s">
        <v>430</v>
      </c>
      <c r="L539" t="str">
        <f>HYPERLINK("https://business-monitor.ch/de/companies/309617-aml-ag-langenthal?utm_source=oberaargau","PROFIL ANSEHEN")</f>
        <v>PROFIL ANSEHEN</v>
      </c>
    </row>
    <row r="540" spans="1:12" x14ac:dyDescent="0.2">
      <c r="A540" t="s">
        <v>1503</v>
      </c>
      <c r="B540" t="s">
        <v>1504</v>
      </c>
      <c r="C540" t="s">
        <v>84</v>
      </c>
      <c r="D540" t="s">
        <v>1505</v>
      </c>
      <c r="E540" t="s">
        <v>1506</v>
      </c>
      <c r="F540">
        <v>4950</v>
      </c>
      <c r="G540" t="s">
        <v>15</v>
      </c>
      <c r="H540" t="s">
        <v>16</v>
      </c>
      <c r="I540" t="s">
        <v>1409</v>
      </c>
      <c r="J540" t="s">
        <v>1410</v>
      </c>
      <c r="K540" t="s">
        <v>430</v>
      </c>
      <c r="L540" t="str">
        <f>HYPERLINK("https://business-monitor.ch/de/companies/209916-kaesereigenossenschaft-eriswil-tschaeppel?utm_source=oberaargau","PROFIL ANSEHEN")</f>
        <v>PROFIL ANSEHEN</v>
      </c>
    </row>
    <row r="541" spans="1:12" x14ac:dyDescent="0.2">
      <c r="A541" t="s">
        <v>1183</v>
      </c>
      <c r="B541" t="s">
        <v>8985</v>
      </c>
      <c r="C541" t="s">
        <v>202</v>
      </c>
      <c r="E541" t="s">
        <v>13515</v>
      </c>
      <c r="F541">
        <v>4900</v>
      </c>
      <c r="G541" t="s">
        <v>41</v>
      </c>
      <c r="H541" t="s">
        <v>16</v>
      </c>
      <c r="I541" t="s">
        <v>326</v>
      </c>
      <c r="J541" t="s">
        <v>327</v>
      </c>
      <c r="K541" t="s">
        <v>430</v>
      </c>
      <c r="L541" t="str">
        <f>HYPERLINK("https://business-monitor.ch/de/companies/247158-valtec-toolsystems-gmbh?utm_source=oberaargau","PROFIL ANSEHEN")</f>
        <v>PROFIL ANSEHEN</v>
      </c>
    </row>
    <row r="542" spans="1:12" x14ac:dyDescent="0.2">
      <c r="A542" t="s">
        <v>9528</v>
      </c>
      <c r="B542" t="s">
        <v>9529</v>
      </c>
      <c r="C542" t="s">
        <v>13</v>
      </c>
      <c r="E542" t="s">
        <v>541</v>
      </c>
      <c r="F542">
        <v>3360</v>
      </c>
      <c r="G542" t="s">
        <v>35</v>
      </c>
      <c r="H542" t="s">
        <v>16</v>
      </c>
      <c r="I542" t="s">
        <v>182</v>
      </c>
      <c r="J542" t="s">
        <v>183</v>
      </c>
      <c r="K542" t="s">
        <v>430</v>
      </c>
      <c r="L542" t="str">
        <f>HYPERLINK("https://business-monitor.ch/de/companies/1023573-kaempfer-holding-ag?utm_source=oberaargau","PROFIL ANSEHEN")</f>
        <v>PROFIL ANSEHEN</v>
      </c>
    </row>
    <row r="543" spans="1:12" x14ac:dyDescent="0.2">
      <c r="A543" t="s">
        <v>14018</v>
      </c>
      <c r="B543" t="s">
        <v>14019</v>
      </c>
      <c r="C543" t="s">
        <v>1812</v>
      </c>
      <c r="E543" t="s">
        <v>14020</v>
      </c>
      <c r="F543">
        <v>4914</v>
      </c>
      <c r="G543" t="s">
        <v>105</v>
      </c>
      <c r="H543" t="s">
        <v>16</v>
      </c>
      <c r="I543" t="s">
        <v>733</v>
      </c>
      <c r="J543" t="s">
        <v>734</v>
      </c>
      <c r="K543" t="s">
        <v>1809</v>
      </c>
      <c r="L543" t="str">
        <f>HYPERLINK("https://business-monitor.ch/de/companies/1269021-motomak-ivanovski?utm_source=oberaargau","PROFIL ANSEHEN")</f>
        <v>PROFIL ANSEHEN</v>
      </c>
    </row>
    <row r="544" spans="1:12" x14ac:dyDescent="0.2">
      <c r="A544" t="s">
        <v>13370</v>
      </c>
      <c r="B544" t="s">
        <v>13371</v>
      </c>
      <c r="C544" t="s">
        <v>1812</v>
      </c>
      <c r="E544" t="s">
        <v>13372</v>
      </c>
      <c r="F544">
        <v>4912</v>
      </c>
      <c r="G544" t="s">
        <v>64</v>
      </c>
      <c r="H544" t="s">
        <v>16</v>
      </c>
      <c r="I544" t="s">
        <v>1818</v>
      </c>
      <c r="J544" t="s">
        <v>1819</v>
      </c>
      <c r="K544" t="s">
        <v>1809</v>
      </c>
      <c r="L544" t="str">
        <f>HYPERLINK("https://business-monitor.ch/de/companies/1248370-sibel-uenal-tuerkdanis-consulting?utm_source=oberaargau","PROFIL ANSEHEN")</f>
        <v>PROFIL ANSEHEN</v>
      </c>
    </row>
    <row r="545" spans="1:12" x14ac:dyDescent="0.2">
      <c r="A545" t="s">
        <v>10470</v>
      </c>
      <c r="B545" t="s">
        <v>10471</v>
      </c>
      <c r="C545" t="s">
        <v>1812</v>
      </c>
      <c r="F545">
        <v>4955</v>
      </c>
      <c r="G545" t="s">
        <v>684</v>
      </c>
      <c r="H545" t="s">
        <v>16</v>
      </c>
      <c r="I545" t="s">
        <v>10472</v>
      </c>
      <c r="J545" t="s">
        <v>10473</v>
      </c>
      <c r="K545" t="s">
        <v>1809</v>
      </c>
      <c r="L545" t="str">
        <f>HYPERLINK("https://business-monitor.ch/de/companies/175160-franz-schaer?utm_source=oberaargau","PROFIL ANSEHEN")</f>
        <v>PROFIL ANSEHEN</v>
      </c>
    </row>
    <row r="546" spans="1:12" x14ac:dyDescent="0.2">
      <c r="A546" t="s">
        <v>7693</v>
      </c>
      <c r="B546" t="s">
        <v>7694</v>
      </c>
      <c r="C546" t="s">
        <v>1812</v>
      </c>
      <c r="E546" t="s">
        <v>7695</v>
      </c>
      <c r="F546">
        <v>4538</v>
      </c>
      <c r="G546" t="s">
        <v>71</v>
      </c>
      <c r="H546" t="s">
        <v>16</v>
      </c>
      <c r="I546" t="s">
        <v>4317</v>
      </c>
      <c r="J546" t="s">
        <v>4318</v>
      </c>
      <c r="K546" t="s">
        <v>1809</v>
      </c>
      <c r="L546" t="str">
        <f>HYPERLINK("https://business-monitor.ch/de/companies/614524-geschenke-mit-sinn-ann-johansson?utm_source=oberaargau","PROFIL ANSEHEN")</f>
        <v>PROFIL ANSEHEN</v>
      </c>
    </row>
    <row r="547" spans="1:12" x14ac:dyDescent="0.2">
      <c r="A547" t="s">
        <v>12025</v>
      </c>
      <c r="B547" t="s">
        <v>12026</v>
      </c>
      <c r="C547" t="s">
        <v>13</v>
      </c>
      <c r="D547" t="s">
        <v>12027</v>
      </c>
      <c r="E547" t="s">
        <v>12028</v>
      </c>
      <c r="F547">
        <v>4900</v>
      </c>
      <c r="G547" t="s">
        <v>41</v>
      </c>
      <c r="H547" t="s">
        <v>16</v>
      </c>
      <c r="I547" t="s">
        <v>186</v>
      </c>
      <c r="J547" t="s">
        <v>187</v>
      </c>
      <c r="K547" t="s">
        <v>1809</v>
      </c>
      <c r="L547" t="str">
        <f>HYPERLINK("https://business-monitor.ch/de/companies/1180637-bardelli-erbenholding-ag?utm_source=oberaargau","PROFIL ANSEHEN")</f>
        <v>PROFIL ANSEHEN</v>
      </c>
    </row>
    <row r="548" spans="1:12" x14ac:dyDescent="0.2">
      <c r="A548" t="s">
        <v>13905</v>
      </c>
      <c r="B548" t="s">
        <v>13906</v>
      </c>
      <c r="C548" t="s">
        <v>13</v>
      </c>
      <c r="E548" t="s">
        <v>1787</v>
      </c>
      <c r="F548">
        <v>4900</v>
      </c>
      <c r="G548" t="s">
        <v>41</v>
      </c>
      <c r="H548" t="s">
        <v>16</v>
      </c>
      <c r="I548" t="s">
        <v>13907</v>
      </c>
      <c r="J548" t="s">
        <v>13908</v>
      </c>
      <c r="K548" t="s">
        <v>1809</v>
      </c>
      <c r="L548" t="str">
        <f>HYPERLINK("https://business-monitor.ch/de/companies/1278227-ryno-drilling-ag?utm_source=oberaargau","PROFIL ANSEHEN")</f>
        <v>PROFIL ANSEHEN</v>
      </c>
    </row>
    <row r="549" spans="1:12" x14ac:dyDescent="0.2">
      <c r="A549" t="s">
        <v>10301</v>
      </c>
      <c r="B549" t="s">
        <v>6946</v>
      </c>
      <c r="C549" t="s">
        <v>2178</v>
      </c>
      <c r="E549" t="s">
        <v>226</v>
      </c>
      <c r="F549">
        <v>4950</v>
      </c>
      <c r="G549" t="s">
        <v>15</v>
      </c>
      <c r="H549" t="s">
        <v>16</v>
      </c>
      <c r="I549" t="s">
        <v>1274</v>
      </c>
      <c r="J549" t="s">
        <v>1275</v>
      </c>
      <c r="K549" t="s">
        <v>1809</v>
      </c>
      <c r="L549" t="str">
        <f>HYPERLINK("https://business-monitor.ch/de/companies/566835-kibag-bauleistungen-ag?utm_source=oberaargau","PROFIL ANSEHEN")</f>
        <v>PROFIL ANSEHEN</v>
      </c>
    </row>
    <row r="550" spans="1:12" x14ac:dyDescent="0.2">
      <c r="A550" t="s">
        <v>12288</v>
      </c>
      <c r="B550" t="s">
        <v>12289</v>
      </c>
      <c r="C550" t="s">
        <v>1812</v>
      </c>
      <c r="E550" t="s">
        <v>11420</v>
      </c>
      <c r="F550">
        <v>4914</v>
      </c>
      <c r="G550" t="s">
        <v>105</v>
      </c>
      <c r="H550" t="s">
        <v>16</v>
      </c>
      <c r="I550" t="s">
        <v>1485</v>
      </c>
      <c r="J550" t="s">
        <v>1486</v>
      </c>
      <c r="K550" t="s">
        <v>1809</v>
      </c>
      <c r="L550" t="str">
        <f>HYPERLINK("https://business-monitor.ch/de/companies/1190905-olive-wood-inh-krebs?utm_source=oberaargau","PROFIL ANSEHEN")</f>
        <v>PROFIL ANSEHEN</v>
      </c>
    </row>
    <row r="551" spans="1:12" x14ac:dyDescent="0.2">
      <c r="A551" t="s">
        <v>4500</v>
      </c>
      <c r="B551" t="s">
        <v>4501</v>
      </c>
      <c r="C551" t="s">
        <v>1812</v>
      </c>
      <c r="E551" t="s">
        <v>4502</v>
      </c>
      <c r="F551">
        <v>4953</v>
      </c>
      <c r="G551" t="s">
        <v>416</v>
      </c>
      <c r="H551" t="s">
        <v>16</v>
      </c>
      <c r="I551" t="s">
        <v>642</v>
      </c>
      <c r="J551" t="s">
        <v>643</v>
      </c>
      <c r="K551" t="s">
        <v>1809</v>
      </c>
      <c r="L551" t="str">
        <f>HYPERLINK("https://business-monitor.ch/de/companies/702498-hia-hirschi-autoservice?utm_source=oberaargau","PROFIL ANSEHEN")</f>
        <v>PROFIL ANSEHEN</v>
      </c>
    </row>
    <row r="552" spans="1:12" x14ac:dyDescent="0.2">
      <c r="A552" t="s">
        <v>6676</v>
      </c>
      <c r="B552" t="s">
        <v>6677</v>
      </c>
      <c r="C552" t="s">
        <v>13</v>
      </c>
      <c r="E552" t="s">
        <v>6678</v>
      </c>
      <c r="F552">
        <v>3475</v>
      </c>
      <c r="G552" t="s">
        <v>2127</v>
      </c>
      <c r="H552" t="s">
        <v>16</v>
      </c>
      <c r="I552" t="s">
        <v>642</v>
      </c>
      <c r="J552" t="s">
        <v>643</v>
      </c>
      <c r="K552" t="s">
        <v>1809</v>
      </c>
      <c r="L552" t="str">
        <f>HYPERLINK("https://business-monitor.ch/de/companies/173462-garage-luethi-ag-hermiswil?utm_source=oberaargau","PROFIL ANSEHEN")</f>
        <v>PROFIL ANSEHEN</v>
      </c>
    </row>
    <row r="553" spans="1:12" x14ac:dyDescent="0.2">
      <c r="A553" t="s">
        <v>5997</v>
      </c>
      <c r="B553" t="s">
        <v>5998</v>
      </c>
      <c r="C553" t="s">
        <v>202</v>
      </c>
      <c r="E553" t="s">
        <v>3020</v>
      </c>
      <c r="F553">
        <v>4917</v>
      </c>
      <c r="G553" t="s">
        <v>5999</v>
      </c>
      <c r="H553" t="s">
        <v>16</v>
      </c>
      <c r="I553" t="s">
        <v>1993</v>
      </c>
      <c r="J553" t="s">
        <v>1994</v>
      </c>
      <c r="K553" t="s">
        <v>1809</v>
      </c>
      <c r="L553" t="str">
        <f>HYPERLINK("https://business-monitor.ch/de/companies/449414-ikura-home-gmbh?utm_source=oberaargau","PROFIL ANSEHEN")</f>
        <v>PROFIL ANSEHEN</v>
      </c>
    </row>
    <row r="554" spans="1:12" x14ac:dyDescent="0.2">
      <c r="A554" t="s">
        <v>12598</v>
      </c>
      <c r="B554" t="s">
        <v>12599</v>
      </c>
      <c r="C554" t="s">
        <v>202</v>
      </c>
      <c r="E554" t="s">
        <v>12600</v>
      </c>
      <c r="F554">
        <v>4704</v>
      </c>
      <c r="G554" t="s">
        <v>221</v>
      </c>
      <c r="H554" t="s">
        <v>16</v>
      </c>
      <c r="I554" t="s">
        <v>781</v>
      </c>
      <c r="J554" t="s">
        <v>782</v>
      </c>
      <c r="K554" t="s">
        <v>1809</v>
      </c>
      <c r="L554" t="str">
        <f>HYPERLINK("https://business-monitor.ch/de/companies/1201634-jjmech-gmbh?utm_source=oberaargau","PROFIL ANSEHEN")</f>
        <v>PROFIL ANSEHEN</v>
      </c>
    </row>
    <row r="555" spans="1:12" x14ac:dyDescent="0.2">
      <c r="A555" t="s">
        <v>7400</v>
      </c>
      <c r="B555" t="s">
        <v>7401</v>
      </c>
      <c r="C555" t="s">
        <v>202</v>
      </c>
      <c r="E555" t="s">
        <v>7402</v>
      </c>
      <c r="F555">
        <v>4922</v>
      </c>
      <c r="G555" t="s">
        <v>99</v>
      </c>
      <c r="H555" t="s">
        <v>16</v>
      </c>
      <c r="I555" t="s">
        <v>1053</v>
      </c>
      <c r="J555" t="s">
        <v>1054</v>
      </c>
      <c r="K555" t="s">
        <v>1809</v>
      </c>
      <c r="L555" t="str">
        <f>HYPERLINK("https://business-monitor.ch/de/companies/960992-atelier-ingold-raschke-gmbh?utm_source=oberaargau","PROFIL ANSEHEN")</f>
        <v>PROFIL ANSEHEN</v>
      </c>
    </row>
    <row r="556" spans="1:12" x14ac:dyDescent="0.2">
      <c r="A556" t="s">
        <v>3286</v>
      </c>
      <c r="B556" t="s">
        <v>3287</v>
      </c>
      <c r="C556" t="s">
        <v>202</v>
      </c>
      <c r="E556" t="s">
        <v>3288</v>
      </c>
      <c r="F556">
        <v>4900</v>
      </c>
      <c r="G556" t="s">
        <v>41</v>
      </c>
      <c r="H556" t="s">
        <v>16</v>
      </c>
      <c r="I556" t="s">
        <v>587</v>
      </c>
      <c r="J556" t="s">
        <v>588</v>
      </c>
      <c r="K556" t="s">
        <v>1809</v>
      </c>
      <c r="L556" t="str">
        <f>HYPERLINK("https://business-monitor.ch/de/companies/245893-teamatec-gmbh?utm_source=oberaargau","PROFIL ANSEHEN")</f>
        <v>PROFIL ANSEHEN</v>
      </c>
    </row>
    <row r="557" spans="1:12" x14ac:dyDescent="0.2">
      <c r="A557" t="s">
        <v>6775</v>
      </c>
      <c r="B557" t="s">
        <v>6776</v>
      </c>
      <c r="C557" t="s">
        <v>13</v>
      </c>
      <c r="E557" t="s">
        <v>652</v>
      </c>
      <c r="F557">
        <v>4914</v>
      </c>
      <c r="G557" t="s">
        <v>105</v>
      </c>
      <c r="H557" t="s">
        <v>16</v>
      </c>
      <c r="I557" t="s">
        <v>906</v>
      </c>
      <c r="J557" t="s">
        <v>907</v>
      </c>
      <c r="K557" t="s">
        <v>1809</v>
      </c>
      <c r="L557" t="str">
        <f>HYPERLINK("https://business-monitor.ch/de/companies/107772-tiliacor-ag?utm_source=oberaargau","PROFIL ANSEHEN")</f>
        <v>PROFIL ANSEHEN</v>
      </c>
    </row>
    <row r="558" spans="1:12" x14ac:dyDescent="0.2">
      <c r="A558" t="s">
        <v>10007</v>
      </c>
      <c r="B558" t="s">
        <v>10008</v>
      </c>
      <c r="C558" t="s">
        <v>202</v>
      </c>
      <c r="E558" t="s">
        <v>10009</v>
      </c>
      <c r="F558">
        <v>4914</v>
      </c>
      <c r="G558" t="s">
        <v>105</v>
      </c>
      <c r="H558" t="s">
        <v>16</v>
      </c>
      <c r="I558" t="s">
        <v>733</v>
      </c>
      <c r="J558" t="s">
        <v>734</v>
      </c>
      <c r="K558" t="s">
        <v>1809</v>
      </c>
      <c r="L558" t="str">
        <f>HYPERLINK("https://business-monitor.ch/de/companies/722202-classic-automobile-vogel-gmbh?utm_source=oberaargau","PROFIL ANSEHEN")</f>
        <v>PROFIL ANSEHEN</v>
      </c>
    </row>
    <row r="559" spans="1:12" x14ac:dyDescent="0.2">
      <c r="A559" t="s">
        <v>12479</v>
      </c>
      <c r="B559" t="s">
        <v>12480</v>
      </c>
      <c r="C559" t="s">
        <v>13</v>
      </c>
      <c r="E559" t="s">
        <v>6604</v>
      </c>
      <c r="F559">
        <v>3360</v>
      </c>
      <c r="G559" t="s">
        <v>35</v>
      </c>
      <c r="H559" t="s">
        <v>16</v>
      </c>
      <c r="I559" t="s">
        <v>186</v>
      </c>
      <c r="J559" t="s">
        <v>187</v>
      </c>
      <c r="K559" t="s">
        <v>1809</v>
      </c>
      <c r="L559" t="str">
        <f>HYPERLINK("https://business-monitor.ch/de/companies/1213433-basbas-ag?utm_source=oberaargau","PROFIL ANSEHEN")</f>
        <v>PROFIL ANSEHEN</v>
      </c>
    </row>
    <row r="560" spans="1:12" x14ac:dyDescent="0.2">
      <c r="A560" t="s">
        <v>9158</v>
      </c>
      <c r="B560" t="s">
        <v>9159</v>
      </c>
      <c r="C560" t="s">
        <v>13</v>
      </c>
      <c r="F560">
        <v>4944</v>
      </c>
      <c r="G560" t="s">
        <v>1176</v>
      </c>
      <c r="H560" t="s">
        <v>16</v>
      </c>
      <c r="I560" t="s">
        <v>624</v>
      </c>
      <c r="J560" t="s">
        <v>625</v>
      </c>
      <c r="K560" t="s">
        <v>1809</v>
      </c>
      <c r="L560" t="str">
        <f>HYPERLINK("https://business-monitor.ch/de/companies/171563-luedi-schaer-schreinerei-und-holzbau-ag?utm_source=oberaargau","PROFIL ANSEHEN")</f>
        <v>PROFIL ANSEHEN</v>
      </c>
    </row>
    <row r="561" spans="1:12" x14ac:dyDescent="0.2">
      <c r="A561" t="s">
        <v>7683</v>
      </c>
      <c r="B561" t="s">
        <v>7684</v>
      </c>
      <c r="C561" t="s">
        <v>1812</v>
      </c>
      <c r="E561" t="s">
        <v>7685</v>
      </c>
      <c r="F561">
        <v>3363</v>
      </c>
      <c r="G561" t="s">
        <v>1367</v>
      </c>
      <c r="H561" t="s">
        <v>16</v>
      </c>
      <c r="I561" t="s">
        <v>1535</v>
      </c>
      <c r="J561" t="s">
        <v>1536</v>
      </c>
      <c r="K561" t="s">
        <v>1809</v>
      </c>
      <c r="L561" t="str">
        <f>HYPERLINK("https://business-monitor.ch/de/companies/616708-buchmueller-garten?utm_source=oberaargau","PROFIL ANSEHEN")</f>
        <v>PROFIL ANSEHEN</v>
      </c>
    </row>
    <row r="562" spans="1:12" x14ac:dyDescent="0.2">
      <c r="A562" t="s">
        <v>2487</v>
      </c>
      <c r="B562" t="s">
        <v>2488</v>
      </c>
      <c r="C562" t="s">
        <v>1922</v>
      </c>
      <c r="E562" t="s">
        <v>2489</v>
      </c>
      <c r="F562">
        <v>4900</v>
      </c>
      <c r="G562" t="s">
        <v>41</v>
      </c>
      <c r="H562" t="s">
        <v>16</v>
      </c>
      <c r="I562" t="s">
        <v>1924</v>
      </c>
      <c r="J562" t="s">
        <v>1925</v>
      </c>
      <c r="K562" t="s">
        <v>1809</v>
      </c>
      <c r="L562" t="str">
        <f>HYPERLINK("https://business-monitor.ch/de/companies/397516-stiftung-lydia-eymann?utm_source=oberaargau","PROFIL ANSEHEN")</f>
        <v>PROFIL ANSEHEN</v>
      </c>
    </row>
    <row r="563" spans="1:12" x14ac:dyDescent="0.2">
      <c r="A563" t="s">
        <v>5984</v>
      </c>
      <c r="B563" t="s">
        <v>11856</v>
      </c>
      <c r="C563" t="s">
        <v>202</v>
      </c>
      <c r="E563" t="s">
        <v>2867</v>
      </c>
      <c r="F563">
        <v>4538</v>
      </c>
      <c r="G563" t="s">
        <v>71</v>
      </c>
      <c r="H563" t="s">
        <v>16</v>
      </c>
      <c r="I563" t="s">
        <v>2748</v>
      </c>
      <c r="J563" t="s">
        <v>2749</v>
      </c>
      <c r="K563" t="s">
        <v>1809</v>
      </c>
      <c r="L563" t="str">
        <f>HYPERLINK("https://business-monitor.ch/de/companies/455125-kk-treuhand-consulting-gmbh?utm_source=oberaargau","PROFIL ANSEHEN")</f>
        <v>PROFIL ANSEHEN</v>
      </c>
    </row>
    <row r="564" spans="1:12" x14ac:dyDescent="0.2">
      <c r="A564" t="s">
        <v>2734</v>
      </c>
      <c r="B564" t="s">
        <v>2735</v>
      </c>
      <c r="C564" t="s">
        <v>13</v>
      </c>
      <c r="D564" t="s">
        <v>2736</v>
      </c>
      <c r="E564" t="s">
        <v>2737</v>
      </c>
      <c r="F564">
        <v>3360</v>
      </c>
      <c r="G564" t="s">
        <v>35</v>
      </c>
      <c r="H564" t="s">
        <v>16</v>
      </c>
      <c r="I564" t="s">
        <v>906</v>
      </c>
      <c r="J564" t="s">
        <v>907</v>
      </c>
      <c r="K564" t="s">
        <v>1809</v>
      </c>
      <c r="L564" t="str">
        <f>HYPERLINK("https://business-monitor.ch/de/companies/455420-ferienhaus-laui-ag?utm_source=oberaargau","PROFIL ANSEHEN")</f>
        <v>PROFIL ANSEHEN</v>
      </c>
    </row>
    <row r="565" spans="1:12" x14ac:dyDescent="0.2">
      <c r="A565" t="s">
        <v>12924</v>
      </c>
      <c r="B565" t="s">
        <v>12925</v>
      </c>
      <c r="C565" t="s">
        <v>13</v>
      </c>
      <c r="E565" t="s">
        <v>756</v>
      </c>
      <c r="F565">
        <v>3360</v>
      </c>
      <c r="G565" t="s">
        <v>35</v>
      </c>
      <c r="H565" t="s">
        <v>16</v>
      </c>
      <c r="I565" t="s">
        <v>935</v>
      </c>
      <c r="J565" t="s">
        <v>936</v>
      </c>
      <c r="K565" t="s">
        <v>1809</v>
      </c>
      <c r="L565" t="str">
        <f>HYPERLINK("https://business-monitor.ch/de/companies/1220532-schenk-palm-ag?utm_source=oberaargau","PROFIL ANSEHEN")</f>
        <v>PROFIL ANSEHEN</v>
      </c>
    </row>
    <row r="566" spans="1:12" x14ac:dyDescent="0.2">
      <c r="A566" t="s">
        <v>12169</v>
      </c>
      <c r="B566" t="s">
        <v>12170</v>
      </c>
      <c r="C566" t="s">
        <v>202</v>
      </c>
      <c r="E566" t="s">
        <v>1055</v>
      </c>
      <c r="F566">
        <v>3360</v>
      </c>
      <c r="G566" t="s">
        <v>35</v>
      </c>
      <c r="H566" t="s">
        <v>16</v>
      </c>
      <c r="I566" t="s">
        <v>1860</v>
      </c>
      <c r="J566" t="s">
        <v>1861</v>
      </c>
      <c r="K566" t="s">
        <v>1809</v>
      </c>
      <c r="L566" t="str">
        <f>HYPERLINK("https://business-monitor.ch/de/companies/1177908-coiffeur-stampfli-gmbh?utm_source=oberaargau","PROFIL ANSEHEN")</f>
        <v>PROFIL ANSEHEN</v>
      </c>
    </row>
    <row r="567" spans="1:12" x14ac:dyDescent="0.2">
      <c r="A567" t="s">
        <v>14375</v>
      </c>
      <c r="B567" t="s">
        <v>14376</v>
      </c>
      <c r="C567" t="s">
        <v>1812</v>
      </c>
      <c r="E567" t="s">
        <v>14377</v>
      </c>
      <c r="F567">
        <v>3367</v>
      </c>
      <c r="G567" t="s">
        <v>455</v>
      </c>
      <c r="H567" t="s">
        <v>16</v>
      </c>
      <c r="I567" t="s">
        <v>733</v>
      </c>
      <c r="J567" t="s">
        <v>734</v>
      </c>
      <c r="K567" t="s">
        <v>1809</v>
      </c>
      <c r="L567" t="str">
        <f>HYPERLINK("https://business-monitor.ch/de/companies/1297034-dream-garage-by-janik-schneeberger?utm_source=oberaargau","PROFIL ANSEHEN")</f>
        <v>PROFIL ANSEHEN</v>
      </c>
    </row>
    <row r="568" spans="1:12" x14ac:dyDescent="0.2">
      <c r="A568" t="s">
        <v>7247</v>
      </c>
      <c r="B568" t="s">
        <v>7248</v>
      </c>
      <c r="C568" t="s">
        <v>202</v>
      </c>
      <c r="E568" t="s">
        <v>3316</v>
      </c>
      <c r="F568">
        <v>4922</v>
      </c>
      <c r="G568" t="s">
        <v>99</v>
      </c>
      <c r="H568" t="s">
        <v>16</v>
      </c>
      <c r="I568" t="s">
        <v>824</v>
      </c>
      <c r="J568" t="s">
        <v>825</v>
      </c>
      <c r="K568" t="s">
        <v>1809</v>
      </c>
      <c r="L568" t="str">
        <f>HYPERLINK("https://business-monitor.ch/de/companies/1021281-orchidee-thai-gmbh?utm_source=oberaargau","PROFIL ANSEHEN")</f>
        <v>PROFIL ANSEHEN</v>
      </c>
    </row>
    <row r="569" spans="1:12" x14ac:dyDescent="0.2">
      <c r="A569" t="s">
        <v>12914</v>
      </c>
      <c r="B569" t="s">
        <v>12915</v>
      </c>
      <c r="C569" t="s">
        <v>1812</v>
      </c>
      <c r="E569" t="s">
        <v>12916</v>
      </c>
      <c r="F569">
        <v>3375</v>
      </c>
      <c r="G569" t="s">
        <v>667</v>
      </c>
      <c r="H569" t="s">
        <v>16</v>
      </c>
      <c r="I569" t="s">
        <v>1835</v>
      </c>
      <c r="J569" t="s">
        <v>1836</v>
      </c>
      <c r="K569" t="s">
        <v>1809</v>
      </c>
      <c r="L569" t="str">
        <f>HYPERLINK("https://business-monitor.ch/de/companies/1222715-paradox-milka-stevanovic?utm_source=oberaargau","PROFIL ANSEHEN")</f>
        <v>PROFIL ANSEHEN</v>
      </c>
    </row>
    <row r="570" spans="1:12" x14ac:dyDescent="0.2">
      <c r="A570" t="s">
        <v>12843</v>
      </c>
      <c r="B570" t="s">
        <v>12844</v>
      </c>
      <c r="C570" t="s">
        <v>202</v>
      </c>
      <c r="E570" t="s">
        <v>12845</v>
      </c>
      <c r="F570">
        <v>3475</v>
      </c>
      <c r="G570" t="s">
        <v>2127</v>
      </c>
      <c r="H570" t="s">
        <v>16</v>
      </c>
      <c r="I570" t="s">
        <v>2748</v>
      </c>
      <c r="J570" t="s">
        <v>2749</v>
      </c>
      <c r="K570" t="s">
        <v>1809</v>
      </c>
      <c r="L570" t="str">
        <f>HYPERLINK("https://business-monitor.ch/de/companies/1222984-meraki-coaching-cleaning-gmbh?utm_source=oberaargau","PROFIL ANSEHEN")</f>
        <v>PROFIL ANSEHEN</v>
      </c>
    </row>
    <row r="571" spans="1:12" x14ac:dyDescent="0.2">
      <c r="A571" t="s">
        <v>14378</v>
      </c>
      <c r="B571" t="s">
        <v>14379</v>
      </c>
      <c r="C571" t="s">
        <v>1812</v>
      </c>
      <c r="E571" t="s">
        <v>14380</v>
      </c>
      <c r="F571">
        <v>4539</v>
      </c>
      <c r="G571" t="s">
        <v>1134</v>
      </c>
      <c r="H571" t="s">
        <v>16</v>
      </c>
      <c r="I571" t="s">
        <v>2050</v>
      </c>
      <c r="J571" t="s">
        <v>2051</v>
      </c>
      <c r="K571" t="s">
        <v>1809</v>
      </c>
      <c r="L571" t="str">
        <f>HYPERLINK("https://business-monitor.ch/de/companies/1297242-kornak-ecommerce?utm_source=oberaargau","PROFIL ANSEHEN")</f>
        <v>PROFIL ANSEHEN</v>
      </c>
    </row>
    <row r="572" spans="1:12" x14ac:dyDescent="0.2">
      <c r="A572" t="s">
        <v>9140</v>
      </c>
      <c r="B572" t="s">
        <v>9141</v>
      </c>
      <c r="C572" t="s">
        <v>13</v>
      </c>
      <c r="F572">
        <v>4937</v>
      </c>
      <c r="G572" t="s">
        <v>951</v>
      </c>
      <c r="H572" t="s">
        <v>16</v>
      </c>
      <c r="I572" t="s">
        <v>723</v>
      </c>
      <c r="J572" t="s">
        <v>724</v>
      </c>
      <c r="K572" t="s">
        <v>1809</v>
      </c>
      <c r="L572" t="str">
        <f>HYPERLINK("https://business-monitor.ch/de/companies/171632-brand-ag-saegewerk-ursenbach?utm_source=oberaargau","PROFIL ANSEHEN")</f>
        <v>PROFIL ANSEHEN</v>
      </c>
    </row>
    <row r="573" spans="1:12" x14ac:dyDescent="0.2">
      <c r="A573" t="s">
        <v>8644</v>
      </c>
      <c r="B573" t="s">
        <v>8645</v>
      </c>
      <c r="C573" t="s">
        <v>1812</v>
      </c>
      <c r="E573" t="s">
        <v>8646</v>
      </c>
      <c r="F573">
        <v>4900</v>
      </c>
      <c r="G573" t="s">
        <v>41</v>
      </c>
      <c r="H573" t="s">
        <v>16</v>
      </c>
      <c r="I573" t="s">
        <v>542</v>
      </c>
      <c r="J573" t="s">
        <v>543</v>
      </c>
      <c r="K573" t="s">
        <v>1809</v>
      </c>
      <c r="L573" t="str">
        <f>HYPERLINK("https://business-monitor.ch/de/companies/423267-flachdach-service-ch-flueckiger-r?utm_source=oberaargau","PROFIL ANSEHEN")</f>
        <v>PROFIL ANSEHEN</v>
      </c>
    </row>
    <row r="574" spans="1:12" x14ac:dyDescent="0.2">
      <c r="A574" t="s">
        <v>11844</v>
      </c>
      <c r="B574" t="s">
        <v>11845</v>
      </c>
      <c r="C574" t="s">
        <v>202</v>
      </c>
      <c r="E574" t="s">
        <v>11846</v>
      </c>
      <c r="F574">
        <v>4914</v>
      </c>
      <c r="G574" t="s">
        <v>105</v>
      </c>
      <c r="H574" t="s">
        <v>16</v>
      </c>
      <c r="I574" t="s">
        <v>1535</v>
      </c>
      <c r="J574" t="s">
        <v>1536</v>
      </c>
      <c r="K574" t="s">
        <v>1809</v>
      </c>
      <c r="L574" t="str">
        <f>HYPERLINK("https://business-monitor.ch/de/companies/1170455-vision-plus-gartenbau-und-unterhalt-gmbh?utm_source=oberaargau","PROFIL ANSEHEN")</f>
        <v>PROFIL ANSEHEN</v>
      </c>
    </row>
    <row r="575" spans="1:12" x14ac:dyDescent="0.2">
      <c r="A575" t="s">
        <v>2375</v>
      </c>
      <c r="B575" t="s">
        <v>2376</v>
      </c>
      <c r="C575" t="s">
        <v>202</v>
      </c>
      <c r="E575" t="s">
        <v>2377</v>
      </c>
      <c r="F575">
        <v>4938</v>
      </c>
      <c r="G575" t="s">
        <v>618</v>
      </c>
      <c r="H575" t="s">
        <v>16</v>
      </c>
      <c r="I575" t="s">
        <v>1855</v>
      </c>
      <c r="J575" t="s">
        <v>1856</v>
      </c>
      <c r="K575" t="s">
        <v>1809</v>
      </c>
      <c r="L575" t="str">
        <f>HYPERLINK("https://business-monitor.ch/de/companies/112326-freizeitoase-gmbh?utm_source=oberaargau","PROFIL ANSEHEN")</f>
        <v>PROFIL ANSEHEN</v>
      </c>
    </row>
    <row r="576" spans="1:12" x14ac:dyDescent="0.2">
      <c r="A576" t="s">
        <v>13216</v>
      </c>
      <c r="B576" t="s">
        <v>13217</v>
      </c>
      <c r="C576" t="s">
        <v>202</v>
      </c>
      <c r="E576" t="s">
        <v>13218</v>
      </c>
      <c r="F576">
        <v>3374</v>
      </c>
      <c r="G576" t="s">
        <v>894</v>
      </c>
      <c r="H576" t="s">
        <v>16</v>
      </c>
      <c r="I576" t="s">
        <v>551</v>
      </c>
      <c r="J576" t="s">
        <v>552</v>
      </c>
      <c r="K576" t="s">
        <v>1809</v>
      </c>
      <c r="L576" t="str">
        <f>HYPERLINK("https://business-monitor.ch/de/companies/1233602-plavidente-gmbh?utm_source=oberaargau","PROFIL ANSEHEN")</f>
        <v>PROFIL ANSEHEN</v>
      </c>
    </row>
    <row r="577" spans="1:12" x14ac:dyDescent="0.2">
      <c r="A577" t="s">
        <v>10520</v>
      </c>
      <c r="B577" t="s">
        <v>10521</v>
      </c>
      <c r="C577" t="s">
        <v>202</v>
      </c>
      <c r="E577" t="s">
        <v>14381</v>
      </c>
      <c r="F577">
        <v>4704</v>
      </c>
      <c r="G577" t="s">
        <v>221</v>
      </c>
      <c r="H577" t="s">
        <v>16</v>
      </c>
      <c r="I577" t="s">
        <v>1835</v>
      </c>
      <c r="J577" t="s">
        <v>1836</v>
      </c>
      <c r="K577" t="s">
        <v>1809</v>
      </c>
      <c r="L577" t="str">
        <f>HYPERLINK("https://business-monitor.ch/de/companies/644673-alox-one-gmbh?utm_source=oberaargau","PROFIL ANSEHEN")</f>
        <v>PROFIL ANSEHEN</v>
      </c>
    </row>
    <row r="578" spans="1:12" x14ac:dyDescent="0.2">
      <c r="A578" t="s">
        <v>13236</v>
      </c>
      <c r="B578" t="s">
        <v>13237</v>
      </c>
      <c r="C578" t="s">
        <v>1812</v>
      </c>
      <c r="E578" t="s">
        <v>8458</v>
      </c>
      <c r="F578">
        <v>4932</v>
      </c>
      <c r="G578" t="s">
        <v>325</v>
      </c>
      <c r="H578" t="s">
        <v>16</v>
      </c>
      <c r="I578" t="s">
        <v>642</v>
      </c>
      <c r="J578" t="s">
        <v>643</v>
      </c>
      <c r="K578" t="s">
        <v>1809</v>
      </c>
      <c r="L578" t="str">
        <f>HYPERLINK("https://business-monitor.ch/de/companies/1237968-auto-eagle-hodja?utm_source=oberaargau","PROFIL ANSEHEN")</f>
        <v>PROFIL ANSEHEN</v>
      </c>
    </row>
    <row r="579" spans="1:12" x14ac:dyDescent="0.2">
      <c r="A579" t="s">
        <v>8956</v>
      </c>
      <c r="B579" t="s">
        <v>8957</v>
      </c>
      <c r="C579" t="s">
        <v>202</v>
      </c>
      <c r="E579" t="s">
        <v>8958</v>
      </c>
      <c r="F579">
        <v>3362</v>
      </c>
      <c r="G579" t="s">
        <v>47</v>
      </c>
      <c r="H579" t="s">
        <v>16</v>
      </c>
      <c r="I579" t="s">
        <v>1097</v>
      </c>
      <c r="J579" t="s">
        <v>1098</v>
      </c>
      <c r="K579" t="s">
        <v>1809</v>
      </c>
      <c r="L579" t="str">
        <f>HYPERLINK("https://business-monitor.ch/de/companies/258605-vancor-services-gmbh?utm_source=oberaargau","PROFIL ANSEHEN")</f>
        <v>PROFIL ANSEHEN</v>
      </c>
    </row>
    <row r="580" spans="1:12" x14ac:dyDescent="0.2">
      <c r="A580" t="s">
        <v>8588</v>
      </c>
      <c r="B580" t="s">
        <v>8589</v>
      </c>
      <c r="C580" t="s">
        <v>202</v>
      </c>
      <c r="E580" t="s">
        <v>4241</v>
      </c>
      <c r="F580">
        <v>4900</v>
      </c>
      <c r="G580" t="s">
        <v>41</v>
      </c>
      <c r="H580" t="s">
        <v>16</v>
      </c>
      <c r="I580" t="s">
        <v>824</v>
      </c>
      <c r="J580" t="s">
        <v>825</v>
      </c>
      <c r="K580" t="s">
        <v>1809</v>
      </c>
      <c r="L580" t="str">
        <f>HYPERLINK("https://business-monitor.ch/de/companies/476920-restaurant-a-la-carte-gmbh?utm_source=oberaargau","PROFIL ANSEHEN")</f>
        <v>PROFIL ANSEHEN</v>
      </c>
    </row>
    <row r="581" spans="1:12" x14ac:dyDescent="0.2">
      <c r="A581" t="s">
        <v>13758</v>
      </c>
      <c r="B581" t="s">
        <v>13759</v>
      </c>
      <c r="C581" t="s">
        <v>1812</v>
      </c>
      <c r="E581" t="s">
        <v>13760</v>
      </c>
      <c r="F581">
        <v>3380</v>
      </c>
      <c r="G581" t="s">
        <v>3483</v>
      </c>
      <c r="H581" t="s">
        <v>16</v>
      </c>
      <c r="I581" t="s">
        <v>2849</v>
      </c>
      <c r="J581" t="s">
        <v>2850</v>
      </c>
      <c r="K581" t="s">
        <v>1809</v>
      </c>
      <c r="L581" t="str">
        <f>HYPERLINK("https://business-monitor.ch/de/companies/1265259-profsa-mori?utm_source=oberaargau","PROFIL ANSEHEN")</f>
        <v>PROFIL ANSEHEN</v>
      </c>
    </row>
    <row r="582" spans="1:12" x14ac:dyDescent="0.2">
      <c r="A582" t="s">
        <v>13551</v>
      </c>
      <c r="B582" t="s">
        <v>13552</v>
      </c>
      <c r="C582" t="s">
        <v>202</v>
      </c>
      <c r="E582" t="s">
        <v>705</v>
      </c>
      <c r="F582">
        <v>4900</v>
      </c>
      <c r="G582" t="s">
        <v>41</v>
      </c>
      <c r="H582" t="s">
        <v>16</v>
      </c>
      <c r="I582" t="s">
        <v>72</v>
      </c>
      <c r="J582" t="s">
        <v>73</v>
      </c>
      <c r="K582" t="s">
        <v>1809</v>
      </c>
      <c r="L582" t="str">
        <f>HYPERLINK("https://business-monitor.ch/de/companies/1267098-abbi34-gmbh?utm_source=oberaargau","PROFIL ANSEHEN")</f>
        <v>PROFIL ANSEHEN</v>
      </c>
    </row>
    <row r="583" spans="1:12" x14ac:dyDescent="0.2">
      <c r="A583" t="s">
        <v>8869</v>
      </c>
      <c r="B583" t="s">
        <v>10498</v>
      </c>
      <c r="C583" t="s">
        <v>202</v>
      </c>
      <c r="E583" t="s">
        <v>10499</v>
      </c>
      <c r="F583">
        <v>4538</v>
      </c>
      <c r="G583" t="s">
        <v>71</v>
      </c>
      <c r="H583" t="s">
        <v>16</v>
      </c>
      <c r="I583" t="s">
        <v>5658</v>
      </c>
      <c r="J583" t="s">
        <v>5659</v>
      </c>
      <c r="K583" t="s">
        <v>1809</v>
      </c>
      <c r="L583" t="str">
        <f>HYPERLINK("https://business-monitor.ch/de/companies/333911-dms-gmbh?utm_source=oberaargau","PROFIL ANSEHEN")</f>
        <v>PROFIL ANSEHEN</v>
      </c>
    </row>
    <row r="584" spans="1:12" x14ac:dyDescent="0.2">
      <c r="A584" t="s">
        <v>13375</v>
      </c>
      <c r="B584" t="s">
        <v>13376</v>
      </c>
      <c r="C584" t="s">
        <v>1812</v>
      </c>
      <c r="E584" t="s">
        <v>11862</v>
      </c>
      <c r="F584">
        <v>4912</v>
      </c>
      <c r="G584" t="s">
        <v>64</v>
      </c>
      <c r="H584" t="s">
        <v>16</v>
      </c>
      <c r="I584" t="s">
        <v>642</v>
      </c>
      <c r="J584" t="s">
        <v>643</v>
      </c>
      <c r="K584" t="s">
        <v>1809</v>
      </c>
      <c r="L584" t="str">
        <f>HYPERLINK("https://business-monitor.ch/de/companies/1248390-bartlomiej-wrobel-auto-spa-adhd?utm_source=oberaargau","PROFIL ANSEHEN")</f>
        <v>PROFIL ANSEHEN</v>
      </c>
    </row>
    <row r="585" spans="1:12" x14ac:dyDescent="0.2">
      <c r="A585" t="s">
        <v>13303</v>
      </c>
      <c r="B585" t="s">
        <v>13304</v>
      </c>
      <c r="C585" t="s">
        <v>1812</v>
      </c>
      <c r="E585" t="s">
        <v>13305</v>
      </c>
      <c r="F585">
        <v>3360</v>
      </c>
      <c r="G585" t="s">
        <v>35</v>
      </c>
      <c r="H585" t="s">
        <v>16</v>
      </c>
      <c r="I585" t="s">
        <v>3861</v>
      </c>
      <c r="J585" t="s">
        <v>3862</v>
      </c>
      <c r="K585" t="s">
        <v>1809</v>
      </c>
      <c r="L585" t="str">
        <f>HYPERLINK("https://business-monitor.ch/de/companies/1248465-monica-lobsiger?utm_source=oberaargau","PROFIL ANSEHEN")</f>
        <v>PROFIL ANSEHEN</v>
      </c>
    </row>
    <row r="586" spans="1:12" x14ac:dyDescent="0.2">
      <c r="A586" t="s">
        <v>8815</v>
      </c>
      <c r="B586" t="s">
        <v>8816</v>
      </c>
      <c r="C586" t="s">
        <v>202</v>
      </c>
      <c r="E586" t="s">
        <v>8817</v>
      </c>
      <c r="F586">
        <v>4704</v>
      </c>
      <c r="G586" t="s">
        <v>221</v>
      </c>
      <c r="H586" t="s">
        <v>16</v>
      </c>
      <c r="I586" t="s">
        <v>5080</v>
      </c>
      <c r="J586" t="s">
        <v>5081</v>
      </c>
      <c r="K586" t="s">
        <v>1809</v>
      </c>
      <c r="L586" t="str">
        <f>HYPERLINK("https://business-monitor.ch/de/companies/1061841-chelona-gmbh?utm_source=oberaargau","PROFIL ANSEHEN")</f>
        <v>PROFIL ANSEHEN</v>
      </c>
    </row>
    <row r="587" spans="1:12" x14ac:dyDescent="0.2">
      <c r="A587" t="s">
        <v>6246</v>
      </c>
      <c r="B587" t="s">
        <v>6247</v>
      </c>
      <c r="C587" t="s">
        <v>13</v>
      </c>
      <c r="D587" t="s">
        <v>2583</v>
      </c>
      <c r="E587" t="s">
        <v>1084</v>
      </c>
      <c r="F587">
        <v>4900</v>
      </c>
      <c r="G587" t="s">
        <v>41</v>
      </c>
      <c r="H587" t="s">
        <v>16</v>
      </c>
      <c r="I587" t="s">
        <v>935</v>
      </c>
      <c r="J587" t="s">
        <v>936</v>
      </c>
      <c r="K587" t="s">
        <v>1809</v>
      </c>
      <c r="L587" t="str">
        <f>HYPERLINK("https://business-monitor.ch/de/companies/961572-bielan-immobilien-ag?utm_source=oberaargau","PROFIL ANSEHEN")</f>
        <v>PROFIL ANSEHEN</v>
      </c>
    </row>
    <row r="588" spans="1:12" x14ac:dyDescent="0.2">
      <c r="A588" t="s">
        <v>2254</v>
      </c>
      <c r="B588" t="s">
        <v>2255</v>
      </c>
      <c r="C588" t="s">
        <v>1812</v>
      </c>
      <c r="E588" t="s">
        <v>14382</v>
      </c>
      <c r="F588">
        <v>4950</v>
      </c>
      <c r="G588" t="s">
        <v>15</v>
      </c>
      <c r="H588" t="s">
        <v>16</v>
      </c>
      <c r="I588" t="s">
        <v>551</v>
      </c>
      <c r="J588" t="s">
        <v>552</v>
      </c>
      <c r="K588" t="s">
        <v>1809</v>
      </c>
      <c r="L588" t="str">
        <f>HYPERLINK("https://business-monitor.ch/de/companies/402594-jost-kmu-consulting?utm_source=oberaargau","PROFIL ANSEHEN")</f>
        <v>PROFIL ANSEHEN</v>
      </c>
    </row>
    <row r="589" spans="1:12" x14ac:dyDescent="0.2">
      <c r="A589" t="s">
        <v>729</v>
      </c>
      <c r="B589" t="s">
        <v>6099</v>
      </c>
      <c r="C589" t="s">
        <v>202</v>
      </c>
      <c r="D589" t="s">
        <v>6100</v>
      </c>
      <c r="E589" t="s">
        <v>1962</v>
      </c>
      <c r="F589">
        <v>3377</v>
      </c>
      <c r="G589" t="s">
        <v>1307</v>
      </c>
      <c r="H589" t="s">
        <v>16</v>
      </c>
      <c r="I589" t="s">
        <v>1835</v>
      </c>
      <c r="J589" t="s">
        <v>1836</v>
      </c>
      <c r="K589" t="s">
        <v>1809</v>
      </c>
      <c r="L589" t="str">
        <f>HYPERLINK("https://business-monitor.ch/de/companies/406118-karim-ammann-gmbh?utm_source=oberaargau","PROFIL ANSEHEN")</f>
        <v>PROFIL ANSEHEN</v>
      </c>
    </row>
    <row r="590" spans="1:12" x14ac:dyDescent="0.2">
      <c r="A590" t="s">
        <v>14296</v>
      </c>
      <c r="B590" t="s">
        <v>14297</v>
      </c>
      <c r="C590" t="s">
        <v>202</v>
      </c>
      <c r="D590" t="s">
        <v>14298</v>
      </c>
      <c r="E590" t="s">
        <v>3900</v>
      </c>
      <c r="F590">
        <v>4919</v>
      </c>
      <c r="G590" t="s">
        <v>3489</v>
      </c>
      <c r="H590" t="s">
        <v>16</v>
      </c>
      <c r="I590" t="s">
        <v>186</v>
      </c>
      <c r="J590" t="s">
        <v>187</v>
      </c>
      <c r="K590" t="s">
        <v>1809</v>
      </c>
      <c r="L590" t="str">
        <f>HYPERLINK("https://business-monitor.ch/de/companies/1287068-a-s-hofer-gmbh?utm_source=oberaargau","PROFIL ANSEHEN")</f>
        <v>PROFIL ANSEHEN</v>
      </c>
    </row>
    <row r="591" spans="1:12" x14ac:dyDescent="0.2">
      <c r="A591" t="s">
        <v>13739</v>
      </c>
      <c r="B591" t="s">
        <v>13740</v>
      </c>
      <c r="C591" t="s">
        <v>1812</v>
      </c>
      <c r="E591" t="s">
        <v>13741</v>
      </c>
      <c r="F591">
        <v>4922</v>
      </c>
      <c r="G591" t="s">
        <v>99</v>
      </c>
      <c r="H591" t="s">
        <v>16</v>
      </c>
      <c r="I591" t="s">
        <v>824</v>
      </c>
      <c r="J591" t="s">
        <v>825</v>
      </c>
      <c r="K591" t="s">
        <v>1809</v>
      </c>
      <c r="L591" t="str">
        <f>HYPERLINK("https://business-monitor.ch/de/companies/1267169-monti-s-pizza-huesli-inh-montunato?utm_source=oberaargau","PROFIL ANSEHEN")</f>
        <v>PROFIL ANSEHEN</v>
      </c>
    </row>
    <row r="592" spans="1:12" x14ac:dyDescent="0.2">
      <c r="A592" t="s">
        <v>13339</v>
      </c>
      <c r="B592" t="s">
        <v>13340</v>
      </c>
      <c r="C592" t="s">
        <v>202</v>
      </c>
      <c r="E592" t="s">
        <v>13341</v>
      </c>
      <c r="F592">
        <v>3362</v>
      </c>
      <c r="G592" t="s">
        <v>47</v>
      </c>
      <c r="H592" t="s">
        <v>16</v>
      </c>
      <c r="I592" t="s">
        <v>134</v>
      </c>
      <c r="J592" t="s">
        <v>135</v>
      </c>
      <c r="K592" t="s">
        <v>1809</v>
      </c>
      <c r="L592" t="str">
        <f>HYPERLINK("https://business-monitor.ch/de/companies/1253934-smftech-gmbh?utm_source=oberaargau","PROFIL ANSEHEN")</f>
        <v>PROFIL ANSEHEN</v>
      </c>
    </row>
    <row r="593" spans="1:12" x14ac:dyDescent="0.2">
      <c r="A593" t="s">
        <v>9535</v>
      </c>
      <c r="B593" t="s">
        <v>9536</v>
      </c>
      <c r="C593" t="s">
        <v>2178</v>
      </c>
      <c r="E593" t="s">
        <v>12878</v>
      </c>
      <c r="F593">
        <v>4704</v>
      </c>
      <c r="G593" t="s">
        <v>221</v>
      </c>
      <c r="H593" t="s">
        <v>16</v>
      </c>
      <c r="I593" t="s">
        <v>2932</v>
      </c>
      <c r="J593" t="s">
        <v>2933</v>
      </c>
      <c r="K593" t="s">
        <v>1809</v>
      </c>
      <c r="L593" t="str">
        <f>HYPERLINK("https://business-monitor.ch/de/companies/619762-buerki-haustechnik-ag-zweigniederlassung-niederbipp?utm_source=oberaargau","PROFIL ANSEHEN")</f>
        <v>PROFIL ANSEHEN</v>
      </c>
    </row>
    <row r="594" spans="1:12" x14ac:dyDescent="0.2">
      <c r="A594" t="s">
        <v>2819</v>
      </c>
      <c r="B594" t="s">
        <v>2820</v>
      </c>
      <c r="C594" t="s">
        <v>202</v>
      </c>
      <c r="E594" t="s">
        <v>2821</v>
      </c>
      <c r="F594">
        <v>3360</v>
      </c>
      <c r="G594" t="s">
        <v>35</v>
      </c>
      <c r="H594" t="s">
        <v>16</v>
      </c>
      <c r="I594" t="s">
        <v>186</v>
      </c>
      <c r="J594" t="s">
        <v>187</v>
      </c>
      <c r="K594" t="s">
        <v>1809</v>
      </c>
      <c r="L594" t="str">
        <f>HYPERLINK("https://business-monitor.ch/de/companies/422546-hortensis-gmbh?utm_source=oberaargau","PROFIL ANSEHEN")</f>
        <v>PROFIL ANSEHEN</v>
      </c>
    </row>
    <row r="595" spans="1:12" x14ac:dyDescent="0.2">
      <c r="A595" t="s">
        <v>8125</v>
      </c>
      <c r="B595" t="s">
        <v>8126</v>
      </c>
      <c r="C595" t="s">
        <v>1827</v>
      </c>
      <c r="E595" t="s">
        <v>8127</v>
      </c>
      <c r="F595">
        <v>4900</v>
      </c>
      <c r="G595" t="s">
        <v>41</v>
      </c>
      <c r="H595" t="s">
        <v>16</v>
      </c>
      <c r="I595" t="s">
        <v>772</v>
      </c>
      <c r="J595" t="s">
        <v>773</v>
      </c>
      <c r="K595" t="s">
        <v>1809</v>
      </c>
      <c r="L595" t="str">
        <f>HYPERLINK("https://business-monitor.ch/de/companies/419926-ammann-co?utm_source=oberaargau","PROFIL ANSEHEN")</f>
        <v>PROFIL ANSEHEN</v>
      </c>
    </row>
    <row r="596" spans="1:12" x14ac:dyDescent="0.2">
      <c r="A596" t="s">
        <v>10462</v>
      </c>
      <c r="B596" t="s">
        <v>10463</v>
      </c>
      <c r="C596" t="s">
        <v>202</v>
      </c>
      <c r="E596" t="s">
        <v>479</v>
      </c>
      <c r="F596">
        <v>4900</v>
      </c>
      <c r="G596" t="s">
        <v>41</v>
      </c>
      <c r="H596" t="s">
        <v>16</v>
      </c>
      <c r="I596" t="s">
        <v>433</v>
      </c>
      <c r="J596" t="s">
        <v>434</v>
      </c>
      <c r="K596" t="s">
        <v>1809</v>
      </c>
      <c r="L596" t="str">
        <f>HYPERLINK("https://business-monitor.ch/de/companies/469610-tok-productions-gmbh?utm_source=oberaargau","PROFIL ANSEHEN")</f>
        <v>PROFIL ANSEHEN</v>
      </c>
    </row>
    <row r="597" spans="1:12" x14ac:dyDescent="0.2">
      <c r="A597" t="s">
        <v>13840</v>
      </c>
      <c r="B597" t="s">
        <v>13841</v>
      </c>
      <c r="C597" t="s">
        <v>1812</v>
      </c>
      <c r="D597" t="s">
        <v>13842</v>
      </c>
      <c r="E597" t="s">
        <v>13843</v>
      </c>
      <c r="F597">
        <v>3362</v>
      </c>
      <c r="G597" t="s">
        <v>47</v>
      </c>
      <c r="H597" t="s">
        <v>16</v>
      </c>
      <c r="I597" t="s">
        <v>13781</v>
      </c>
      <c r="J597" t="s">
        <v>13782</v>
      </c>
      <c r="K597" t="s">
        <v>1809</v>
      </c>
      <c r="L597" t="str">
        <f>HYPERLINK("https://business-monitor.ch/de/companies/1278676-ankour?utm_source=oberaargau","PROFIL ANSEHEN")</f>
        <v>PROFIL ANSEHEN</v>
      </c>
    </row>
    <row r="598" spans="1:12" x14ac:dyDescent="0.2">
      <c r="A598" t="s">
        <v>9428</v>
      </c>
      <c r="B598" t="s">
        <v>9429</v>
      </c>
      <c r="C598" t="s">
        <v>202</v>
      </c>
      <c r="E598" t="s">
        <v>2629</v>
      </c>
      <c r="F598">
        <v>4912</v>
      </c>
      <c r="G598" t="s">
        <v>64</v>
      </c>
      <c r="H598" t="s">
        <v>16</v>
      </c>
      <c r="I598" t="s">
        <v>186</v>
      </c>
      <c r="J598" t="s">
        <v>187</v>
      </c>
      <c r="K598" t="s">
        <v>1809</v>
      </c>
      <c r="L598" t="str">
        <f>HYPERLINK("https://business-monitor.ch/de/companies/10505-fra-62-gmbh?utm_source=oberaargau","PROFIL ANSEHEN")</f>
        <v>PROFIL ANSEHEN</v>
      </c>
    </row>
    <row r="599" spans="1:12" x14ac:dyDescent="0.2">
      <c r="A599" t="s">
        <v>7875</v>
      </c>
      <c r="B599" t="s">
        <v>7876</v>
      </c>
      <c r="C599" t="s">
        <v>1812</v>
      </c>
      <c r="E599" t="s">
        <v>7877</v>
      </c>
      <c r="F599">
        <v>3368</v>
      </c>
      <c r="G599" t="s">
        <v>308</v>
      </c>
      <c r="H599" t="s">
        <v>16</v>
      </c>
      <c r="I599" t="s">
        <v>3514</v>
      </c>
      <c r="J599" t="s">
        <v>3515</v>
      </c>
      <c r="K599" t="s">
        <v>1809</v>
      </c>
      <c r="L599" t="str">
        <f>HYPERLINK("https://business-monitor.ch/de/companies/425622-praxis-vitality-angelina-attinger?utm_source=oberaargau","PROFIL ANSEHEN")</f>
        <v>PROFIL ANSEHEN</v>
      </c>
    </row>
    <row r="600" spans="1:12" x14ac:dyDescent="0.2">
      <c r="A600" t="s">
        <v>9104</v>
      </c>
      <c r="B600" t="s">
        <v>9105</v>
      </c>
      <c r="C600" t="s">
        <v>13</v>
      </c>
      <c r="E600" t="s">
        <v>9106</v>
      </c>
      <c r="F600">
        <v>3360</v>
      </c>
      <c r="G600" t="s">
        <v>35</v>
      </c>
      <c r="H600" t="s">
        <v>16</v>
      </c>
      <c r="I600" t="s">
        <v>858</v>
      </c>
      <c r="J600" t="s">
        <v>859</v>
      </c>
      <c r="K600" t="s">
        <v>1809</v>
      </c>
      <c r="L600" t="str">
        <f>HYPERLINK("https://business-monitor.ch/de/companies/173751-heinz-lienhard-ag?utm_source=oberaargau","PROFIL ANSEHEN")</f>
        <v>PROFIL ANSEHEN</v>
      </c>
    </row>
    <row r="601" spans="1:12" x14ac:dyDescent="0.2">
      <c r="A601" t="s">
        <v>6599</v>
      </c>
      <c r="B601" t="s">
        <v>11198</v>
      </c>
      <c r="C601" t="s">
        <v>13</v>
      </c>
      <c r="E601" t="s">
        <v>6601</v>
      </c>
      <c r="F601">
        <v>4537</v>
      </c>
      <c r="G601" t="s">
        <v>113</v>
      </c>
      <c r="H601" t="s">
        <v>16</v>
      </c>
      <c r="I601" t="s">
        <v>935</v>
      </c>
      <c r="J601" t="s">
        <v>936</v>
      </c>
      <c r="K601" t="s">
        <v>1809</v>
      </c>
      <c r="L601" t="str">
        <f>HYPERLINK("https://business-monitor.ch/de/companies/206538-keller-6-17-ag?utm_source=oberaargau","PROFIL ANSEHEN")</f>
        <v>PROFIL ANSEHEN</v>
      </c>
    </row>
    <row r="602" spans="1:12" x14ac:dyDescent="0.2">
      <c r="A602" t="s">
        <v>2367</v>
      </c>
      <c r="B602" t="s">
        <v>2368</v>
      </c>
      <c r="C602" t="s">
        <v>1812</v>
      </c>
      <c r="E602" t="s">
        <v>2369</v>
      </c>
      <c r="F602">
        <v>4952</v>
      </c>
      <c r="G602" t="s">
        <v>474</v>
      </c>
      <c r="H602" t="s">
        <v>16</v>
      </c>
      <c r="I602" t="s">
        <v>565</v>
      </c>
      <c r="J602" t="s">
        <v>566</v>
      </c>
      <c r="K602" t="s">
        <v>1809</v>
      </c>
      <c r="L602" t="str">
        <f>HYPERLINK("https://business-monitor.ch/de/companies/135267-hans-kleeb-etter?utm_source=oberaargau","PROFIL ANSEHEN")</f>
        <v>PROFIL ANSEHEN</v>
      </c>
    </row>
    <row r="603" spans="1:12" x14ac:dyDescent="0.2">
      <c r="A603" t="s">
        <v>8927</v>
      </c>
      <c r="B603" t="s">
        <v>8928</v>
      </c>
      <c r="C603" t="s">
        <v>1812</v>
      </c>
      <c r="E603" t="s">
        <v>8929</v>
      </c>
      <c r="F603">
        <v>4934</v>
      </c>
      <c r="G603" t="s">
        <v>670</v>
      </c>
      <c r="H603" t="s">
        <v>16</v>
      </c>
      <c r="I603" t="s">
        <v>139</v>
      </c>
      <c r="J603" t="s">
        <v>140</v>
      </c>
      <c r="K603" t="s">
        <v>1809</v>
      </c>
      <c r="L603" t="str">
        <f>HYPERLINK("https://business-monitor.ch/de/companies/275643-globaltrail-bruno-kneubuehler?utm_source=oberaargau","PROFIL ANSEHEN")</f>
        <v>PROFIL ANSEHEN</v>
      </c>
    </row>
    <row r="604" spans="1:12" x14ac:dyDescent="0.2">
      <c r="A604" t="s">
        <v>5976</v>
      </c>
      <c r="B604" t="s">
        <v>5977</v>
      </c>
      <c r="C604" t="s">
        <v>202</v>
      </c>
      <c r="E604" t="s">
        <v>5978</v>
      </c>
      <c r="F604">
        <v>4950</v>
      </c>
      <c r="G604" t="s">
        <v>15</v>
      </c>
      <c r="H604" t="s">
        <v>16</v>
      </c>
      <c r="I604" t="s">
        <v>997</v>
      </c>
      <c r="J604" t="s">
        <v>998</v>
      </c>
      <c r="K604" t="s">
        <v>1809</v>
      </c>
      <c r="L604" t="str">
        <f>HYPERLINK("https://business-monitor.ch/de/companies/458952-hunkeler-motos-gmbh?utm_source=oberaargau","PROFIL ANSEHEN")</f>
        <v>PROFIL ANSEHEN</v>
      </c>
    </row>
    <row r="605" spans="1:12" x14ac:dyDescent="0.2">
      <c r="A605" t="s">
        <v>12894</v>
      </c>
      <c r="B605" t="s">
        <v>12895</v>
      </c>
      <c r="C605" t="s">
        <v>1812</v>
      </c>
      <c r="E605" t="s">
        <v>12896</v>
      </c>
      <c r="F605">
        <v>3360</v>
      </c>
      <c r="G605" t="s">
        <v>35</v>
      </c>
      <c r="H605" t="s">
        <v>16</v>
      </c>
      <c r="I605" t="s">
        <v>1296</v>
      </c>
      <c r="J605" t="s">
        <v>1297</v>
      </c>
      <c r="K605" t="s">
        <v>1809</v>
      </c>
      <c r="L605" t="str">
        <f>HYPERLINK("https://business-monitor.ch/de/companies/1217274-traber-media?utm_source=oberaargau","PROFIL ANSEHEN")</f>
        <v>PROFIL ANSEHEN</v>
      </c>
    </row>
    <row r="606" spans="1:12" x14ac:dyDescent="0.2">
      <c r="A606" t="s">
        <v>5775</v>
      </c>
      <c r="B606" t="s">
        <v>5776</v>
      </c>
      <c r="C606" t="s">
        <v>1812</v>
      </c>
      <c r="E606" t="s">
        <v>5777</v>
      </c>
      <c r="F606">
        <v>4914</v>
      </c>
      <c r="G606" t="s">
        <v>717</v>
      </c>
      <c r="H606" t="s">
        <v>16</v>
      </c>
      <c r="I606" t="s">
        <v>3775</v>
      </c>
      <c r="J606" t="s">
        <v>3776</v>
      </c>
      <c r="K606" t="s">
        <v>1809</v>
      </c>
      <c r="L606" t="str">
        <f>HYPERLINK("https://business-monitor.ch/de/companies/310311-hug-productions?utm_source=oberaargau","PROFIL ANSEHEN")</f>
        <v>PROFIL ANSEHEN</v>
      </c>
    </row>
    <row r="607" spans="1:12" x14ac:dyDescent="0.2">
      <c r="A607" t="s">
        <v>6310</v>
      </c>
      <c r="B607" t="s">
        <v>6311</v>
      </c>
      <c r="C607" t="s">
        <v>1812</v>
      </c>
      <c r="E607" t="s">
        <v>6312</v>
      </c>
      <c r="F607">
        <v>3372</v>
      </c>
      <c r="G607" t="s">
        <v>2120</v>
      </c>
      <c r="H607" t="s">
        <v>16</v>
      </c>
      <c r="I607" t="s">
        <v>12290</v>
      </c>
      <c r="J607" t="s">
        <v>12291</v>
      </c>
      <c r="K607" t="s">
        <v>1809</v>
      </c>
      <c r="L607" t="str">
        <f>HYPERLINK("https://business-monitor.ch/de/companies/331135-rinaldo-emmenegger?utm_source=oberaargau","PROFIL ANSEHEN")</f>
        <v>PROFIL ANSEHEN</v>
      </c>
    </row>
    <row r="608" spans="1:12" x14ac:dyDescent="0.2">
      <c r="A608" t="s">
        <v>12020</v>
      </c>
      <c r="B608" t="s">
        <v>12021</v>
      </c>
      <c r="C608" t="s">
        <v>1812</v>
      </c>
      <c r="E608" t="s">
        <v>2044</v>
      </c>
      <c r="F608">
        <v>4900</v>
      </c>
      <c r="G608" t="s">
        <v>41</v>
      </c>
      <c r="H608" t="s">
        <v>16</v>
      </c>
      <c r="I608" t="s">
        <v>2045</v>
      </c>
      <c r="J608" t="s">
        <v>2046</v>
      </c>
      <c r="K608" t="s">
        <v>1809</v>
      </c>
      <c r="L608" t="str">
        <f>HYPERLINK("https://business-monitor.ch/de/companies/1179740-surber-goldschmied?utm_source=oberaargau","PROFIL ANSEHEN")</f>
        <v>PROFIL ANSEHEN</v>
      </c>
    </row>
    <row r="609" spans="1:12" x14ac:dyDescent="0.2">
      <c r="A609" t="s">
        <v>13427</v>
      </c>
      <c r="B609" t="s">
        <v>13428</v>
      </c>
      <c r="C609" t="s">
        <v>202</v>
      </c>
      <c r="E609" t="s">
        <v>13429</v>
      </c>
      <c r="F609">
        <v>4704</v>
      </c>
      <c r="G609" t="s">
        <v>221</v>
      </c>
      <c r="H609" t="s">
        <v>16</v>
      </c>
      <c r="I609" t="s">
        <v>464</v>
      </c>
      <c r="J609" t="s">
        <v>465</v>
      </c>
      <c r="K609" t="s">
        <v>1809</v>
      </c>
      <c r="L609" t="str">
        <f>HYPERLINK("https://business-monitor.ch/de/companies/1051486-herrmann-herrmann-transport-gmbh?utm_source=oberaargau","PROFIL ANSEHEN")</f>
        <v>PROFIL ANSEHEN</v>
      </c>
    </row>
    <row r="610" spans="1:12" x14ac:dyDescent="0.2">
      <c r="A610" t="s">
        <v>9153</v>
      </c>
      <c r="B610" t="s">
        <v>9154</v>
      </c>
      <c r="C610" t="s">
        <v>13</v>
      </c>
      <c r="E610" t="s">
        <v>1821</v>
      </c>
      <c r="F610">
        <v>4934</v>
      </c>
      <c r="G610" t="s">
        <v>670</v>
      </c>
      <c r="H610" t="s">
        <v>16</v>
      </c>
      <c r="I610" t="s">
        <v>642</v>
      </c>
      <c r="J610" t="s">
        <v>643</v>
      </c>
      <c r="K610" t="s">
        <v>1809</v>
      </c>
      <c r="L610" t="str">
        <f>HYPERLINK("https://business-monitor.ch/de/companies/171591-kneubuehler-ag-madiswil?utm_source=oberaargau","PROFIL ANSEHEN")</f>
        <v>PROFIL ANSEHEN</v>
      </c>
    </row>
    <row r="611" spans="1:12" x14ac:dyDescent="0.2">
      <c r="A611" t="s">
        <v>11227</v>
      </c>
      <c r="B611" t="s">
        <v>11228</v>
      </c>
      <c r="C611" t="s">
        <v>2258</v>
      </c>
      <c r="D611" t="s">
        <v>11229</v>
      </c>
      <c r="E611" t="s">
        <v>11230</v>
      </c>
      <c r="F611">
        <v>4950</v>
      </c>
      <c r="G611" t="s">
        <v>15</v>
      </c>
      <c r="H611" t="s">
        <v>16</v>
      </c>
      <c r="I611" t="s">
        <v>3024</v>
      </c>
      <c r="J611" t="s">
        <v>3025</v>
      </c>
      <c r="K611" t="s">
        <v>1809</v>
      </c>
      <c r="L611" t="str">
        <f>HYPERLINK("https://business-monitor.ch/de/companies/25922-verein-historische-eisenbahn-emmental-vhe?utm_source=oberaargau","PROFIL ANSEHEN")</f>
        <v>PROFIL ANSEHEN</v>
      </c>
    </row>
    <row r="612" spans="1:12" x14ac:dyDescent="0.2">
      <c r="A612" t="s">
        <v>7081</v>
      </c>
      <c r="B612" t="s">
        <v>7082</v>
      </c>
      <c r="C612" t="s">
        <v>1812</v>
      </c>
      <c r="E612" t="s">
        <v>2297</v>
      </c>
      <c r="F612">
        <v>4537</v>
      </c>
      <c r="G612" t="s">
        <v>113</v>
      </c>
      <c r="H612" t="s">
        <v>16</v>
      </c>
      <c r="I612" t="s">
        <v>642</v>
      </c>
      <c r="J612" t="s">
        <v>643</v>
      </c>
      <c r="K612" t="s">
        <v>1809</v>
      </c>
      <c r="L612" t="str">
        <f>HYPERLINK("https://business-monitor.ch/de/companies/928766-speed-auto-p-nikolic?utm_source=oberaargau","PROFIL ANSEHEN")</f>
        <v>PROFIL ANSEHEN</v>
      </c>
    </row>
    <row r="613" spans="1:12" x14ac:dyDescent="0.2">
      <c r="A613" t="s">
        <v>3824</v>
      </c>
      <c r="B613" t="s">
        <v>3825</v>
      </c>
      <c r="C613" t="s">
        <v>1812</v>
      </c>
      <c r="E613" t="s">
        <v>3826</v>
      </c>
      <c r="F613">
        <v>4914</v>
      </c>
      <c r="G613" t="s">
        <v>105</v>
      </c>
      <c r="H613" t="s">
        <v>16</v>
      </c>
      <c r="I613" t="s">
        <v>24</v>
      </c>
      <c r="J613" t="s">
        <v>25</v>
      </c>
      <c r="K613" t="s">
        <v>1809</v>
      </c>
      <c r="L613" t="str">
        <f>HYPERLINK("https://business-monitor.ch/de/companies/618740-web-dis-ch-luethi-fritz?utm_source=oberaargau","PROFIL ANSEHEN")</f>
        <v>PROFIL ANSEHEN</v>
      </c>
    </row>
    <row r="614" spans="1:12" x14ac:dyDescent="0.2">
      <c r="A614" t="s">
        <v>6679</v>
      </c>
      <c r="B614" t="s">
        <v>6680</v>
      </c>
      <c r="C614" t="s">
        <v>202</v>
      </c>
      <c r="E614" t="s">
        <v>3768</v>
      </c>
      <c r="F614">
        <v>4536</v>
      </c>
      <c r="G614" t="s">
        <v>1395</v>
      </c>
      <c r="H614" t="s">
        <v>16</v>
      </c>
      <c r="I614" t="s">
        <v>459</v>
      </c>
      <c r="J614" t="s">
        <v>460</v>
      </c>
      <c r="K614" t="s">
        <v>1809</v>
      </c>
      <c r="L614" t="str">
        <f>HYPERLINK("https://business-monitor.ch/de/companies/173461-urs-meyer-geruestbau-gmbh?utm_source=oberaargau","PROFIL ANSEHEN")</f>
        <v>PROFIL ANSEHEN</v>
      </c>
    </row>
    <row r="615" spans="1:12" x14ac:dyDescent="0.2">
      <c r="A615" t="s">
        <v>9160</v>
      </c>
      <c r="B615" t="s">
        <v>9161</v>
      </c>
      <c r="C615" t="s">
        <v>13</v>
      </c>
      <c r="E615" t="s">
        <v>9162</v>
      </c>
      <c r="F615">
        <v>4932</v>
      </c>
      <c r="G615" t="s">
        <v>325</v>
      </c>
      <c r="H615" t="s">
        <v>16</v>
      </c>
      <c r="I615" t="s">
        <v>2555</v>
      </c>
      <c r="J615" t="s">
        <v>2556</v>
      </c>
      <c r="K615" t="s">
        <v>1809</v>
      </c>
      <c r="L615" t="str">
        <f>HYPERLINK("https://business-monitor.ch/de/companies/171560-jufer-ag?utm_source=oberaargau","PROFIL ANSEHEN")</f>
        <v>PROFIL ANSEHEN</v>
      </c>
    </row>
    <row r="616" spans="1:12" x14ac:dyDescent="0.2">
      <c r="A616" t="s">
        <v>2005</v>
      </c>
      <c r="B616" t="s">
        <v>2006</v>
      </c>
      <c r="C616" t="s">
        <v>1812</v>
      </c>
      <c r="E616" t="s">
        <v>2007</v>
      </c>
      <c r="F616">
        <v>4704</v>
      </c>
      <c r="G616" t="s">
        <v>221</v>
      </c>
      <c r="H616" t="s">
        <v>16</v>
      </c>
      <c r="I616" t="s">
        <v>335</v>
      </c>
      <c r="J616" t="s">
        <v>336</v>
      </c>
      <c r="K616" t="s">
        <v>1809</v>
      </c>
      <c r="L616" t="str">
        <f>HYPERLINK("https://business-monitor.ch/de/companies/186166-automaten-h-p-rohrbach?utm_source=oberaargau","PROFIL ANSEHEN")</f>
        <v>PROFIL ANSEHEN</v>
      </c>
    </row>
    <row r="617" spans="1:12" x14ac:dyDescent="0.2">
      <c r="A617" t="s">
        <v>7524</v>
      </c>
      <c r="B617" t="s">
        <v>7525</v>
      </c>
      <c r="C617" t="s">
        <v>202</v>
      </c>
      <c r="E617" t="s">
        <v>7526</v>
      </c>
      <c r="F617">
        <v>3380</v>
      </c>
      <c r="G617" t="s">
        <v>29</v>
      </c>
      <c r="H617" t="s">
        <v>16</v>
      </c>
      <c r="I617" t="s">
        <v>260</v>
      </c>
      <c r="J617" t="s">
        <v>261</v>
      </c>
      <c r="K617" t="s">
        <v>1809</v>
      </c>
      <c r="L617" t="str">
        <f>HYPERLINK("https://business-monitor.ch/de/companies/703583-soder-architektur-gmbh?utm_source=oberaargau","PROFIL ANSEHEN")</f>
        <v>PROFIL ANSEHEN</v>
      </c>
    </row>
    <row r="618" spans="1:12" x14ac:dyDescent="0.2">
      <c r="A618" t="s">
        <v>3949</v>
      </c>
      <c r="B618" t="s">
        <v>3950</v>
      </c>
      <c r="C618" t="s">
        <v>1812</v>
      </c>
      <c r="E618" t="s">
        <v>528</v>
      </c>
      <c r="F618">
        <v>3360</v>
      </c>
      <c r="G618" t="s">
        <v>35</v>
      </c>
      <c r="H618" t="s">
        <v>16</v>
      </c>
      <c r="I618" t="s">
        <v>1860</v>
      </c>
      <c r="J618" t="s">
        <v>1861</v>
      </c>
      <c r="K618" t="s">
        <v>1809</v>
      </c>
      <c r="L618" t="str">
        <f>HYPERLINK("https://business-monitor.ch/de/companies/702530-coiffeur-hairstyle-monika-haengaertner?utm_source=oberaargau","PROFIL ANSEHEN")</f>
        <v>PROFIL ANSEHEN</v>
      </c>
    </row>
    <row r="619" spans="1:12" x14ac:dyDescent="0.2">
      <c r="A619" t="s">
        <v>6654</v>
      </c>
      <c r="B619" t="s">
        <v>6655</v>
      </c>
      <c r="C619" t="s">
        <v>2258</v>
      </c>
      <c r="E619" t="s">
        <v>6492</v>
      </c>
      <c r="F619">
        <v>4900</v>
      </c>
      <c r="G619" t="s">
        <v>41</v>
      </c>
      <c r="H619" t="s">
        <v>16</v>
      </c>
      <c r="I619" t="s">
        <v>6656</v>
      </c>
      <c r="J619" t="s">
        <v>6657</v>
      </c>
      <c r="K619" t="s">
        <v>1809</v>
      </c>
      <c r="L619" t="str">
        <f>HYPERLINK("https://business-monitor.ch/de/companies/291921-rudolf-steiner-schule-oberaargau?utm_source=oberaargau","PROFIL ANSEHEN")</f>
        <v>PROFIL ANSEHEN</v>
      </c>
    </row>
    <row r="620" spans="1:12" x14ac:dyDescent="0.2">
      <c r="A620" t="s">
        <v>8619</v>
      </c>
      <c r="B620" t="s">
        <v>13036</v>
      </c>
      <c r="C620" t="s">
        <v>1812</v>
      </c>
      <c r="E620" t="s">
        <v>8620</v>
      </c>
      <c r="F620">
        <v>4954</v>
      </c>
      <c r="G620" t="s">
        <v>359</v>
      </c>
      <c r="H620" t="s">
        <v>16</v>
      </c>
      <c r="I620" t="s">
        <v>6550</v>
      </c>
      <c r="J620" t="s">
        <v>6551</v>
      </c>
      <c r="K620" t="s">
        <v>1809</v>
      </c>
      <c r="L620" t="str">
        <f>HYPERLINK("https://business-monitor.ch/de/companies/444883-provieh-viehhandel-wymann?utm_source=oberaargau","PROFIL ANSEHEN")</f>
        <v>PROFIL ANSEHEN</v>
      </c>
    </row>
    <row r="621" spans="1:12" x14ac:dyDescent="0.2">
      <c r="A621" t="s">
        <v>9979</v>
      </c>
      <c r="B621" t="s">
        <v>9980</v>
      </c>
      <c r="C621" t="s">
        <v>13</v>
      </c>
      <c r="D621" t="s">
        <v>9981</v>
      </c>
      <c r="E621" t="s">
        <v>9982</v>
      </c>
      <c r="F621">
        <v>4919</v>
      </c>
      <c r="G621" t="s">
        <v>3489</v>
      </c>
      <c r="H621" t="s">
        <v>16</v>
      </c>
      <c r="I621" t="s">
        <v>182</v>
      </c>
      <c r="J621" t="s">
        <v>183</v>
      </c>
      <c r="K621" t="s">
        <v>1809</v>
      </c>
      <c r="L621" t="str">
        <f>HYPERLINK("https://business-monitor.ch/de/companies/731053-rbst-holding-ag?utm_source=oberaargau","PROFIL ANSEHEN")</f>
        <v>PROFIL ANSEHEN</v>
      </c>
    </row>
    <row r="622" spans="1:12" x14ac:dyDescent="0.2">
      <c r="A622" t="s">
        <v>14345</v>
      </c>
      <c r="B622" t="s">
        <v>14346</v>
      </c>
      <c r="C622" t="s">
        <v>1827</v>
      </c>
      <c r="E622" t="s">
        <v>3808</v>
      </c>
      <c r="F622">
        <v>4539</v>
      </c>
      <c r="G622" t="s">
        <v>23</v>
      </c>
      <c r="H622" t="s">
        <v>16</v>
      </c>
      <c r="I622" t="s">
        <v>824</v>
      </c>
      <c r="J622" t="s">
        <v>825</v>
      </c>
      <c r="K622" t="s">
        <v>1809</v>
      </c>
      <c r="L622" t="str">
        <f>HYPERLINK("https://business-monitor.ch/de/companies/1284792-alprestaurant-stierenberg-farnern-klg?utm_source=oberaargau","PROFIL ANSEHEN")</f>
        <v>PROFIL ANSEHEN</v>
      </c>
    </row>
    <row r="623" spans="1:12" x14ac:dyDescent="0.2">
      <c r="A623" t="s">
        <v>5070</v>
      </c>
      <c r="B623" t="s">
        <v>5071</v>
      </c>
      <c r="C623" t="s">
        <v>1812</v>
      </c>
      <c r="E623" t="s">
        <v>5072</v>
      </c>
      <c r="F623">
        <v>4950</v>
      </c>
      <c r="G623" t="s">
        <v>15</v>
      </c>
      <c r="H623" t="s">
        <v>16</v>
      </c>
      <c r="I623" t="s">
        <v>1267</v>
      </c>
      <c r="J623" t="s">
        <v>1268</v>
      </c>
      <c r="K623" t="s">
        <v>1809</v>
      </c>
      <c r="L623" t="str">
        <f>HYPERLINK("https://business-monitor.ch/de/companies/38122-ulrich-walther?utm_source=oberaargau","PROFIL ANSEHEN")</f>
        <v>PROFIL ANSEHEN</v>
      </c>
    </row>
    <row r="624" spans="1:12" x14ac:dyDescent="0.2">
      <c r="A624" t="s">
        <v>12503</v>
      </c>
      <c r="B624" t="s">
        <v>12504</v>
      </c>
      <c r="C624" t="s">
        <v>1812</v>
      </c>
      <c r="E624" t="s">
        <v>8958</v>
      </c>
      <c r="F624">
        <v>3362</v>
      </c>
      <c r="G624" t="s">
        <v>47</v>
      </c>
      <c r="H624" t="s">
        <v>16</v>
      </c>
      <c r="I624" t="s">
        <v>551</v>
      </c>
      <c r="J624" t="s">
        <v>552</v>
      </c>
      <c r="K624" t="s">
        <v>1809</v>
      </c>
      <c r="L624" t="str">
        <f>HYPERLINK("https://business-monitor.ch/de/companies/232882-mastermind-consulting-van-gelderen?utm_source=oberaargau","PROFIL ANSEHEN")</f>
        <v>PROFIL ANSEHEN</v>
      </c>
    </row>
    <row r="625" spans="1:12" x14ac:dyDescent="0.2">
      <c r="A625" t="s">
        <v>4457</v>
      </c>
      <c r="B625" t="s">
        <v>4458</v>
      </c>
      <c r="C625" t="s">
        <v>1922</v>
      </c>
      <c r="D625" t="s">
        <v>4459</v>
      </c>
      <c r="E625" t="s">
        <v>2238</v>
      </c>
      <c r="F625">
        <v>4932</v>
      </c>
      <c r="G625" t="s">
        <v>325</v>
      </c>
      <c r="H625" t="s">
        <v>16</v>
      </c>
      <c r="I625" t="s">
        <v>2912</v>
      </c>
      <c r="J625" t="s">
        <v>2913</v>
      </c>
      <c r="K625" t="s">
        <v>1809</v>
      </c>
      <c r="L625" t="str">
        <f>HYPERLINK("https://business-monitor.ch/de/companies/723576-familie-thomi-stiftung?utm_source=oberaargau","PROFIL ANSEHEN")</f>
        <v>PROFIL ANSEHEN</v>
      </c>
    </row>
    <row r="626" spans="1:12" x14ac:dyDescent="0.2">
      <c r="A626" t="s">
        <v>8205</v>
      </c>
      <c r="B626" t="s">
        <v>8206</v>
      </c>
      <c r="C626" t="s">
        <v>1812</v>
      </c>
      <c r="E626" t="s">
        <v>8207</v>
      </c>
      <c r="F626">
        <v>4900</v>
      </c>
      <c r="G626" t="s">
        <v>41</v>
      </c>
      <c r="H626" t="s">
        <v>16</v>
      </c>
      <c r="I626" t="s">
        <v>459</v>
      </c>
      <c r="J626" t="s">
        <v>460</v>
      </c>
      <c r="K626" t="s">
        <v>1809</v>
      </c>
      <c r="L626" t="str">
        <f>HYPERLINK("https://business-monitor.ch/de/companies/147228-adelbert-meyer?utm_source=oberaargau","PROFIL ANSEHEN")</f>
        <v>PROFIL ANSEHEN</v>
      </c>
    </row>
    <row r="627" spans="1:12" x14ac:dyDescent="0.2">
      <c r="A627" t="s">
        <v>7038</v>
      </c>
      <c r="B627" t="s">
        <v>7039</v>
      </c>
      <c r="C627" t="s">
        <v>202</v>
      </c>
      <c r="E627" t="s">
        <v>13301</v>
      </c>
      <c r="F627">
        <v>4922</v>
      </c>
      <c r="G627" t="s">
        <v>99</v>
      </c>
      <c r="H627" t="s">
        <v>16</v>
      </c>
      <c r="I627" t="s">
        <v>781</v>
      </c>
      <c r="J627" t="s">
        <v>782</v>
      </c>
      <c r="K627" t="s">
        <v>1809</v>
      </c>
      <c r="L627" t="str">
        <f>HYPERLINK("https://business-monitor.ch/de/companies/668578-contech-equipment-gmbh?utm_source=oberaargau","PROFIL ANSEHEN")</f>
        <v>PROFIL ANSEHEN</v>
      </c>
    </row>
    <row r="628" spans="1:12" x14ac:dyDescent="0.2">
      <c r="A628" t="s">
        <v>10948</v>
      </c>
      <c r="B628" t="s">
        <v>10949</v>
      </c>
      <c r="C628" t="s">
        <v>202</v>
      </c>
      <c r="E628" t="s">
        <v>2053</v>
      </c>
      <c r="F628">
        <v>4917</v>
      </c>
      <c r="G628" t="s">
        <v>376</v>
      </c>
      <c r="H628" t="s">
        <v>16</v>
      </c>
      <c r="I628" t="s">
        <v>1898</v>
      </c>
      <c r="J628" t="s">
        <v>1899</v>
      </c>
      <c r="K628" t="s">
        <v>1809</v>
      </c>
      <c r="L628" t="str">
        <f>HYPERLINK("https://business-monitor.ch/de/companies/1101976-wunschbeck-gmbh?utm_source=oberaargau","PROFIL ANSEHEN")</f>
        <v>PROFIL ANSEHEN</v>
      </c>
    </row>
    <row r="629" spans="1:12" x14ac:dyDescent="0.2">
      <c r="A629" t="s">
        <v>10166</v>
      </c>
      <c r="B629" t="s">
        <v>10167</v>
      </c>
      <c r="C629" t="s">
        <v>202</v>
      </c>
      <c r="E629" t="s">
        <v>5205</v>
      </c>
      <c r="F629">
        <v>4900</v>
      </c>
      <c r="G629" t="s">
        <v>41</v>
      </c>
      <c r="H629" t="s">
        <v>16</v>
      </c>
      <c r="I629" t="s">
        <v>433</v>
      </c>
      <c r="J629" t="s">
        <v>434</v>
      </c>
      <c r="K629" t="s">
        <v>1809</v>
      </c>
      <c r="L629" t="str">
        <f>HYPERLINK("https://business-monitor.ch/de/companies/645672-dinus-gmbh?utm_source=oberaargau","PROFIL ANSEHEN")</f>
        <v>PROFIL ANSEHEN</v>
      </c>
    </row>
    <row r="630" spans="1:12" x14ac:dyDescent="0.2">
      <c r="A630" t="s">
        <v>12548</v>
      </c>
      <c r="B630" t="s">
        <v>12549</v>
      </c>
      <c r="C630" t="s">
        <v>202</v>
      </c>
      <c r="E630" t="s">
        <v>12550</v>
      </c>
      <c r="F630">
        <v>4950</v>
      </c>
      <c r="G630" t="s">
        <v>15</v>
      </c>
      <c r="H630" t="s">
        <v>16</v>
      </c>
      <c r="I630" t="s">
        <v>624</v>
      </c>
      <c r="J630" t="s">
        <v>625</v>
      </c>
      <c r="K630" t="s">
        <v>1809</v>
      </c>
      <c r="L630" t="str">
        <f>HYPERLINK("https://business-monitor.ch/de/companies/1214314-3d-daenu-gmbh?utm_source=oberaargau","PROFIL ANSEHEN")</f>
        <v>PROFIL ANSEHEN</v>
      </c>
    </row>
    <row r="631" spans="1:12" x14ac:dyDescent="0.2">
      <c r="A631" t="s">
        <v>9728</v>
      </c>
      <c r="B631" t="s">
        <v>9729</v>
      </c>
      <c r="C631" t="s">
        <v>1827</v>
      </c>
      <c r="E631" t="s">
        <v>3821</v>
      </c>
      <c r="F631">
        <v>4537</v>
      </c>
      <c r="G631" t="s">
        <v>113</v>
      </c>
      <c r="H631" t="s">
        <v>16</v>
      </c>
      <c r="I631" t="s">
        <v>3806</v>
      </c>
      <c r="J631" t="s">
        <v>3807</v>
      </c>
      <c r="K631" t="s">
        <v>1809</v>
      </c>
      <c r="L631" t="str">
        <f>HYPERLINK("https://business-monitor.ch/de/companies/1041493-casirikicustoms-klg?utm_source=oberaargau","PROFIL ANSEHEN")</f>
        <v>PROFIL ANSEHEN</v>
      </c>
    </row>
    <row r="632" spans="1:12" x14ac:dyDescent="0.2">
      <c r="A632" t="s">
        <v>12917</v>
      </c>
      <c r="B632" t="s">
        <v>12918</v>
      </c>
      <c r="C632" t="s">
        <v>1812</v>
      </c>
      <c r="E632" t="s">
        <v>12919</v>
      </c>
      <c r="F632">
        <v>3374</v>
      </c>
      <c r="G632" t="s">
        <v>894</v>
      </c>
      <c r="H632" t="s">
        <v>16</v>
      </c>
      <c r="I632" t="s">
        <v>2213</v>
      </c>
      <c r="J632" t="s">
        <v>2214</v>
      </c>
      <c r="K632" t="s">
        <v>1809</v>
      </c>
      <c r="L632" t="str">
        <f>HYPERLINK("https://business-monitor.ch/de/companies/1228325-nadine-siegel?utm_source=oberaargau","PROFIL ANSEHEN")</f>
        <v>PROFIL ANSEHEN</v>
      </c>
    </row>
    <row r="633" spans="1:12" x14ac:dyDescent="0.2">
      <c r="A633" t="s">
        <v>3211</v>
      </c>
      <c r="B633" t="s">
        <v>6442</v>
      </c>
      <c r="C633" t="s">
        <v>13</v>
      </c>
      <c r="E633" t="s">
        <v>6443</v>
      </c>
      <c r="F633">
        <v>3360</v>
      </c>
      <c r="G633" t="s">
        <v>35</v>
      </c>
      <c r="H633" t="s">
        <v>16</v>
      </c>
      <c r="I633" t="s">
        <v>966</v>
      </c>
      <c r="J633" t="s">
        <v>967</v>
      </c>
      <c r="K633" t="s">
        <v>1809</v>
      </c>
      <c r="L633" t="str">
        <f>HYPERLINK("https://business-monitor.ch/de/companies/278050-lagerstrasse-immobilien-ag?utm_source=oberaargau","PROFIL ANSEHEN")</f>
        <v>PROFIL ANSEHEN</v>
      </c>
    </row>
    <row r="634" spans="1:12" x14ac:dyDescent="0.2">
      <c r="A634" t="s">
        <v>7489</v>
      </c>
      <c r="B634" t="s">
        <v>7490</v>
      </c>
      <c r="C634" t="s">
        <v>202</v>
      </c>
      <c r="E634" t="s">
        <v>7491</v>
      </c>
      <c r="F634">
        <v>4704</v>
      </c>
      <c r="G634" t="s">
        <v>221</v>
      </c>
      <c r="H634" t="s">
        <v>16</v>
      </c>
      <c r="I634" t="s">
        <v>260</v>
      </c>
      <c r="J634" t="s">
        <v>261</v>
      </c>
      <c r="K634" t="s">
        <v>1809</v>
      </c>
      <c r="L634" t="str">
        <f>HYPERLINK("https://business-monitor.ch/de/companies/727562-jf-immobilien-gmbh?utm_source=oberaargau","PROFIL ANSEHEN")</f>
        <v>PROFIL ANSEHEN</v>
      </c>
    </row>
    <row r="635" spans="1:12" x14ac:dyDescent="0.2">
      <c r="A635" t="s">
        <v>7626</v>
      </c>
      <c r="B635" t="s">
        <v>7627</v>
      </c>
      <c r="C635" t="s">
        <v>1812</v>
      </c>
      <c r="E635" t="s">
        <v>7628</v>
      </c>
      <c r="F635">
        <v>4922</v>
      </c>
      <c r="G635" t="s">
        <v>1318</v>
      </c>
      <c r="H635" t="s">
        <v>16</v>
      </c>
      <c r="I635" t="s">
        <v>733</v>
      </c>
      <c r="J635" t="s">
        <v>734</v>
      </c>
      <c r="K635" t="s">
        <v>1809</v>
      </c>
      <c r="L635" t="str">
        <f>HYPERLINK("https://business-monitor.ch/de/companies/656044-autoportal-moukarzele?utm_source=oberaargau","PROFIL ANSEHEN")</f>
        <v>PROFIL ANSEHEN</v>
      </c>
    </row>
    <row r="636" spans="1:12" x14ac:dyDescent="0.2">
      <c r="A636" t="s">
        <v>8375</v>
      </c>
      <c r="B636" t="s">
        <v>8376</v>
      </c>
      <c r="C636" t="s">
        <v>13</v>
      </c>
      <c r="E636" t="s">
        <v>8195</v>
      </c>
      <c r="F636">
        <v>4917</v>
      </c>
      <c r="G636" t="s">
        <v>376</v>
      </c>
      <c r="H636" t="s">
        <v>16</v>
      </c>
      <c r="I636" t="s">
        <v>2327</v>
      </c>
      <c r="J636" t="s">
        <v>2328</v>
      </c>
      <c r="K636" t="s">
        <v>1809</v>
      </c>
      <c r="L636" t="str">
        <f>HYPERLINK("https://business-monitor.ch/de/companies/113853-brunschwiler-gaertnerei-ag?utm_source=oberaargau","PROFIL ANSEHEN")</f>
        <v>PROFIL ANSEHEN</v>
      </c>
    </row>
    <row r="637" spans="1:12" x14ac:dyDescent="0.2">
      <c r="A637" t="s">
        <v>2074</v>
      </c>
      <c r="B637" t="s">
        <v>2075</v>
      </c>
      <c r="C637" t="s">
        <v>13</v>
      </c>
      <c r="E637" t="s">
        <v>2076</v>
      </c>
      <c r="F637">
        <v>4900</v>
      </c>
      <c r="G637" t="s">
        <v>41</v>
      </c>
      <c r="H637" t="s">
        <v>16</v>
      </c>
      <c r="I637" t="s">
        <v>2077</v>
      </c>
      <c r="J637" t="s">
        <v>2078</v>
      </c>
      <c r="K637" t="s">
        <v>1809</v>
      </c>
      <c r="L637" t="str">
        <f>HYPERLINK("https://business-monitor.ch/de/companies/150966-foto-lang-ag?utm_source=oberaargau","PROFIL ANSEHEN")</f>
        <v>PROFIL ANSEHEN</v>
      </c>
    </row>
    <row r="638" spans="1:12" x14ac:dyDescent="0.2">
      <c r="A638" t="s">
        <v>8790</v>
      </c>
      <c r="B638" t="s">
        <v>8791</v>
      </c>
      <c r="C638" t="s">
        <v>13</v>
      </c>
      <c r="E638" t="s">
        <v>8792</v>
      </c>
      <c r="F638">
        <v>4934</v>
      </c>
      <c r="G638" t="s">
        <v>670</v>
      </c>
      <c r="H638" t="s">
        <v>16</v>
      </c>
      <c r="I638" t="s">
        <v>781</v>
      </c>
      <c r="J638" t="s">
        <v>782</v>
      </c>
      <c r="K638" t="s">
        <v>1809</v>
      </c>
      <c r="L638" t="str">
        <f>HYPERLINK("https://business-monitor.ch/de/companies/356744-lametrac-ag?utm_source=oberaargau","PROFIL ANSEHEN")</f>
        <v>PROFIL ANSEHEN</v>
      </c>
    </row>
    <row r="639" spans="1:12" x14ac:dyDescent="0.2">
      <c r="A639" t="s">
        <v>13527</v>
      </c>
      <c r="B639" t="s">
        <v>13528</v>
      </c>
      <c r="C639" t="s">
        <v>1812</v>
      </c>
      <c r="E639" t="s">
        <v>13529</v>
      </c>
      <c r="F639">
        <v>4539</v>
      </c>
      <c r="G639" t="s">
        <v>1134</v>
      </c>
      <c r="H639" t="s">
        <v>16</v>
      </c>
      <c r="I639" t="s">
        <v>997</v>
      </c>
      <c r="J639" t="s">
        <v>998</v>
      </c>
      <c r="K639" t="s">
        <v>1809</v>
      </c>
      <c r="L639" t="str">
        <f>HYPERLINK("https://business-monitor.ch/de/companies/1261104-m11-racing-milan-anken?utm_source=oberaargau","PROFIL ANSEHEN")</f>
        <v>PROFIL ANSEHEN</v>
      </c>
    </row>
    <row r="640" spans="1:12" x14ac:dyDescent="0.2">
      <c r="A640" t="s">
        <v>13381</v>
      </c>
      <c r="B640" t="s">
        <v>13382</v>
      </c>
      <c r="C640" t="s">
        <v>13</v>
      </c>
      <c r="E640" t="s">
        <v>4418</v>
      </c>
      <c r="F640">
        <v>4922</v>
      </c>
      <c r="G640" t="s">
        <v>1318</v>
      </c>
      <c r="H640" t="s">
        <v>16</v>
      </c>
      <c r="I640" t="s">
        <v>1267</v>
      </c>
      <c r="J640" t="s">
        <v>1268</v>
      </c>
      <c r="K640" t="s">
        <v>1809</v>
      </c>
      <c r="L640" t="str">
        <f>HYPERLINK("https://business-monitor.ch/de/companies/94969-urnesa-ag?utm_source=oberaargau","PROFIL ANSEHEN")</f>
        <v>PROFIL ANSEHEN</v>
      </c>
    </row>
    <row r="641" spans="1:12" x14ac:dyDescent="0.2">
      <c r="A641" t="s">
        <v>12272</v>
      </c>
      <c r="B641" t="s">
        <v>12273</v>
      </c>
      <c r="C641" t="s">
        <v>1812</v>
      </c>
      <c r="E641" t="s">
        <v>12274</v>
      </c>
      <c r="F641">
        <v>4704</v>
      </c>
      <c r="G641" t="s">
        <v>221</v>
      </c>
      <c r="H641" t="s">
        <v>16</v>
      </c>
      <c r="I641" t="s">
        <v>4105</v>
      </c>
      <c r="J641" t="s">
        <v>4106</v>
      </c>
      <c r="K641" t="s">
        <v>1809</v>
      </c>
      <c r="L641" t="str">
        <f>HYPERLINK("https://business-monitor.ch/de/companies/1198442-mandamachts-by-schmid?utm_source=oberaargau","PROFIL ANSEHEN")</f>
        <v>PROFIL ANSEHEN</v>
      </c>
    </row>
    <row r="642" spans="1:12" x14ac:dyDescent="0.2">
      <c r="A642" t="s">
        <v>10698</v>
      </c>
      <c r="B642" t="s">
        <v>10699</v>
      </c>
      <c r="C642" t="s">
        <v>1812</v>
      </c>
      <c r="E642" t="s">
        <v>11625</v>
      </c>
      <c r="F642">
        <v>4938</v>
      </c>
      <c r="G642" t="s">
        <v>618</v>
      </c>
      <c r="H642" t="s">
        <v>16</v>
      </c>
      <c r="I642" t="s">
        <v>1267</v>
      </c>
      <c r="J642" t="s">
        <v>1268</v>
      </c>
      <c r="K642" t="s">
        <v>1809</v>
      </c>
      <c r="L642" t="str">
        <f>HYPERLINK("https://business-monitor.ch/de/companies/373425-cutrade-bruno-kneubuehler?utm_source=oberaargau","PROFIL ANSEHEN")</f>
        <v>PROFIL ANSEHEN</v>
      </c>
    </row>
    <row r="643" spans="1:12" x14ac:dyDescent="0.2">
      <c r="A643" t="s">
        <v>6634</v>
      </c>
      <c r="B643" t="s">
        <v>6635</v>
      </c>
      <c r="C643" t="s">
        <v>202</v>
      </c>
      <c r="E643" t="s">
        <v>6636</v>
      </c>
      <c r="F643">
        <v>4900</v>
      </c>
      <c r="G643" t="s">
        <v>41</v>
      </c>
      <c r="H643" t="s">
        <v>16</v>
      </c>
      <c r="I643" t="s">
        <v>2027</v>
      </c>
      <c r="J643" t="s">
        <v>2028</v>
      </c>
      <c r="K643" t="s">
        <v>1809</v>
      </c>
      <c r="L643" t="str">
        <f>HYPERLINK("https://business-monitor.ch/de/companies/186074-studer-startnummern-gmbh?utm_source=oberaargau","PROFIL ANSEHEN")</f>
        <v>PROFIL ANSEHEN</v>
      </c>
    </row>
    <row r="644" spans="1:12" x14ac:dyDescent="0.2">
      <c r="A644" t="s">
        <v>9997</v>
      </c>
      <c r="B644" t="s">
        <v>9998</v>
      </c>
      <c r="C644" t="s">
        <v>1812</v>
      </c>
      <c r="E644" t="s">
        <v>9999</v>
      </c>
      <c r="F644">
        <v>3360</v>
      </c>
      <c r="G644" t="s">
        <v>35</v>
      </c>
      <c r="H644" t="s">
        <v>16</v>
      </c>
      <c r="I644" t="s">
        <v>1470</v>
      </c>
      <c r="J644" t="s">
        <v>1471</v>
      </c>
      <c r="K644" t="s">
        <v>1809</v>
      </c>
      <c r="L644" t="str">
        <f>HYPERLINK("https://business-monitor.ch/de/companies/724616-hls-energietech-emini?utm_source=oberaargau","PROFIL ANSEHEN")</f>
        <v>PROFIL ANSEHEN</v>
      </c>
    </row>
    <row r="645" spans="1:12" x14ac:dyDescent="0.2">
      <c r="A645" t="s">
        <v>12769</v>
      </c>
      <c r="B645" t="s">
        <v>12770</v>
      </c>
      <c r="C645" t="s">
        <v>1812</v>
      </c>
      <c r="E645" t="s">
        <v>12771</v>
      </c>
      <c r="F645">
        <v>4900</v>
      </c>
      <c r="G645" t="s">
        <v>41</v>
      </c>
      <c r="H645" t="s">
        <v>16</v>
      </c>
      <c r="I645" t="s">
        <v>2706</v>
      </c>
      <c r="J645" t="s">
        <v>2707</v>
      </c>
      <c r="K645" t="s">
        <v>1809</v>
      </c>
      <c r="L645" t="str">
        <f>HYPERLINK("https://business-monitor.ch/de/companies/1227255-soundcoach-hanspeter-walther?utm_source=oberaargau","PROFIL ANSEHEN")</f>
        <v>PROFIL ANSEHEN</v>
      </c>
    </row>
    <row r="646" spans="1:12" x14ac:dyDescent="0.2">
      <c r="A646" t="s">
        <v>2155</v>
      </c>
      <c r="B646" t="s">
        <v>2156</v>
      </c>
      <c r="C646" t="s">
        <v>202</v>
      </c>
      <c r="D646" t="s">
        <v>2157</v>
      </c>
      <c r="E646" t="s">
        <v>2158</v>
      </c>
      <c r="F646">
        <v>3372</v>
      </c>
      <c r="G646" t="s">
        <v>2120</v>
      </c>
      <c r="H646" t="s">
        <v>16</v>
      </c>
      <c r="I646" t="s">
        <v>433</v>
      </c>
      <c r="J646" t="s">
        <v>434</v>
      </c>
      <c r="K646" t="s">
        <v>1809</v>
      </c>
      <c r="L646" t="str">
        <f>HYPERLINK("https://business-monitor.ch/de/companies/732058-dr-reto-wyss-entertrainment-gmbh?utm_source=oberaargau","PROFIL ANSEHEN")</f>
        <v>PROFIL ANSEHEN</v>
      </c>
    </row>
    <row r="647" spans="1:12" x14ac:dyDescent="0.2">
      <c r="A647" t="s">
        <v>7497</v>
      </c>
      <c r="B647" t="s">
        <v>7498</v>
      </c>
      <c r="C647" t="s">
        <v>202</v>
      </c>
      <c r="E647" t="s">
        <v>7161</v>
      </c>
      <c r="F647">
        <v>4922</v>
      </c>
      <c r="G647" t="s">
        <v>99</v>
      </c>
      <c r="H647" t="s">
        <v>16</v>
      </c>
      <c r="I647" t="s">
        <v>854</v>
      </c>
      <c r="J647" t="s">
        <v>855</v>
      </c>
      <c r="K647" t="s">
        <v>1809</v>
      </c>
      <c r="L647" t="str">
        <f>HYPERLINK("https://business-monitor.ch/de/companies/726497-ms-dynamic-gmbh?utm_source=oberaargau","PROFIL ANSEHEN")</f>
        <v>PROFIL ANSEHEN</v>
      </c>
    </row>
    <row r="648" spans="1:12" x14ac:dyDescent="0.2">
      <c r="A648" t="s">
        <v>4709</v>
      </c>
      <c r="B648" t="s">
        <v>4710</v>
      </c>
      <c r="C648" t="s">
        <v>202</v>
      </c>
      <c r="E648" t="s">
        <v>4711</v>
      </c>
      <c r="F648">
        <v>4950</v>
      </c>
      <c r="G648" t="s">
        <v>15</v>
      </c>
      <c r="H648" t="s">
        <v>16</v>
      </c>
      <c r="I648" t="s">
        <v>2350</v>
      </c>
      <c r="J648" t="s">
        <v>2351</v>
      </c>
      <c r="K648" t="s">
        <v>1809</v>
      </c>
      <c r="L648" t="str">
        <f>HYPERLINK("https://business-monitor.ch/de/companies/594002-fiechter-luethi-gmbh-moebel-und-moebelrestaurationen?utm_source=oberaargau","PROFIL ANSEHEN")</f>
        <v>PROFIL ANSEHEN</v>
      </c>
    </row>
    <row r="649" spans="1:12" x14ac:dyDescent="0.2">
      <c r="A649" t="s">
        <v>13411</v>
      </c>
      <c r="B649" t="s">
        <v>13412</v>
      </c>
      <c r="C649" t="s">
        <v>202</v>
      </c>
      <c r="E649" t="s">
        <v>14265</v>
      </c>
      <c r="F649">
        <v>4936</v>
      </c>
      <c r="G649" t="s">
        <v>768</v>
      </c>
      <c r="H649" t="s">
        <v>16</v>
      </c>
      <c r="I649" t="s">
        <v>854</v>
      </c>
      <c r="J649" t="s">
        <v>855</v>
      </c>
      <c r="K649" t="s">
        <v>1809</v>
      </c>
      <c r="L649" t="str">
        <f>HYPERLINK("https://business-monitor.ch/de/companies/1252154-frey-software-design-gmbh?utm_source=oberaargau","PROFIL ANSEHEN")</f>
        <v>PROFIL ANSEHEN</v>
      </c>
    </row>
    <row r="650" spans="1:12" x14ac:dyDescent="0.2">
      <c r="A650" t="s">
        <v>9928</v>
      </c>
      <c r="B650" t="s">
        <v>9929</v>
      </c>
      <c r="C650" t="s">
        <v>1827</v>
      </c>
      <c r="E650" t="s">
        <v>2359</v>
      </c>
      <c r="F650">
        <v>3373</v>
      </c>
      <c r="G650" t="s">
        <v>2697</v>
      </c>
      <c r="H650" t="s">
        <v>16</v>
      </c>
      <c r="I650" t="s">
        <v>565</v>
      </c>
      <c r="J650" t="s">
        <v>566</v>
      </c>
      <c r="K650" t="s">
        <v>1809</v>
      </c>
      <c r="L650" t="str">
        <f>HYPERLINK("https://business-monitor.ch/de/companies/955021-schoris-baeckerei-klg?utm_source=oberaargau","PROFIL ANSEHEN")</f>
        <v>PROFIL ANSEHEN</v>
      </c>
    </row>
    <row r="651" spans="1:12" x14ac:dyDescent="0.2">
      <c r="A651" t="s">
        <v>9574</v>
      </c>
      <c r="B651" t="s">
        <v>9575</v>
      </c>
      <c r="C651" t="s">
        <v>1812</v>
      </c>
      <c r="E651" t="s">
        <v>9576</v>
      </c>
      <c r="F651">
        <v>4922</v>
      </c>
      <c r="G651" t="s">
        <v>99</v>
      </c>
      <c r="H651" t="s">
        <v>16</v>
      </c>
      <c r="I651" t="s">
        <v>3253</v>
      </c>
      <c r="J651" t="s">
        <v>3254</v>
      </c>
      <c r="K651" t="s">
        <v>1809</v>
      </c>
      <c r="L651" t="str">
        <f>HYPERLINK("https://business-monitor.ch/de/companies/1050952-karahan-handel?utm_source=oberaargau","PROFIL ANSEHEN")</f>
        <v>PROFIL ANSEHEN</v>
      </c>
    </row>
    <row r="652" spans="1:12" x14ac:dyDescent="0.2">
      <c r="A652" t="s">
        <v>5335</v>
      </c>
      <c r="B652" t="s">
        <v>5336</v>
      </c>
      <c r="C652" t="s">
        <v>2178</v>
      </c>
      <c r="E652" t="s">
        <v>5337</v>
      </c>
      <c r="F652">
        <v>3367</v>
      </c>
      <c r="G652" t="s">
        <v>455</v>
      </c>
      <c r="H652" t="s">
        <v>16</v>
      </c>
      <c r="I652" t="s">
        <v>167</v>
      </c>
      <c r="J652" t="s">
        <v>168</v>
      </c>
      <c r="K652" t="s">
        <v>1809</v>
      </c>
      <c r="L652" t="str">
        <f>HYPERLINK("https://business-monitor.ch/de/companies/482814-sutter-bauunternehmung-ag?utm_source=oberaargau","PROFIL ANSEHEN")</f>
        <v>PROFIL ANSEHEN</v>
      </c>
    </row>
    <row r="653" spans="1:12" x14ac:dyDescent="0.2">
      <c r="A653" t="s">
        <v>6262</v>
      </c>
      <c r="B653" t="s">
        <v>6263</v>
      </c>
      <c r="C653" t="s">
        <v>202</v>
      </c>
      <c r="E653" t="s">
        <v>6264</v>
      </c>
      <c r="F653">
        <v>3367</v>
      </c>
      <c r="G653" t="s">
        <v>455</v>
      </c>
      <c r="H653" t="s">
        <v>16</v>
      </c>
      <c r="I653" t="s">
        <v>854</v>
      </c>
      <c r="J653" t="s">
        <v>855</v>
      </c>
      <c r="K653" t="s">
        <v>1809</v>
      </c>
      <c r="L653" t="str">
        <f>HYPERLINK("https://business-monitor.ch/de/companies/350193-leutech-systemintegration-gmbh?utm_source=oberaargau","PROFIL ANSEHEN")</f>
        <v>PROFIL ANSEHEN</v>
      </c>
    </row>
    <row r="654" spans="1:12" x14ac:dyDescent="0.2">
      <c r="A654" t="s">
        <v>6451</v>
      </c>
      <c r="B654" t="s">
        <v>6452</v>
      </c>
      <c r="C654" t="s">
        <v>2258</v>
      </c>
      <c r="E654" t="s">
        <v>14112</v>
      </c>
      <c r="F654">
        <v>4900</v>
      </c>
      <c r="G654" t="s">
        <v>41</v>
      </c>
      <c r="H654" t="s">
        <v>16</v>
      </c>
      <c r="I654" t="s">
        <v>1924</v>
      </c>
      <c r="J654" t="s">
        <v>1925</v>
      </c>
      <c r="K654" t="s">
        <v>1809</v>
      </c>
      <c r="L654" t="str">
        <f>HYPERLINK("https://business-monitor.ch/de/companies/272305-mar-movement-against-atrocities-and-repression?utm_source=oberaargau","PROFIL ANSEHEN")</f>
        <v>PROFIL ANSEHEN</v>
      </c>
    </row>
    <row r="655" spans="1:12" x14ac:dyDescent="0.2">
      <c r="A655" t="s">
        <v>9547</v>
      </c>
      <c r="B655" t="s">
        <v>9548</v>
      </c>
      <c r="C655" t="s">
        <v>1812</v>
      </c>
      <c r="E655" t="s">
        <v>7358</v>
      </c>
      <c r="F655">
        <v>3375</v>
      </c>
      <c r="G655" t="s">
        <v>667</v>
      </c>
      <c r="H655" t="s">
        <v>16</v>
      </c>
      <c r="I655" t="s">
        <v>1210</v>
      </c>
      <c r="J655" t="s">
        <v>1211</v>
      </c>
      <c r="K655" t="s">
        <v>1809</v>
      </c>
      <c r="L655" t="str">
        <f>HYPERLINK("https://business-monitor.ch/de/companies/719119-liebgewollt-esther-wyss?utm_source=oberaargau","PROFIL ANSEHEN")</f>
        <v>PROFIL ANSEHEN</v>
      </c>
    </row>
    <row r="656" spans="1:12" x14ac:dyDescent="0.2">
      <c r="A656" t="s">
        <v>14383</v>
      </c>
      <c r="B656" t="s">
        <v>14384</v>
      </c>
      <c r="C656" t="s">
        <v>1812</v>
      </c>
      <c r="E656" t="s">
        <v>959</v>
      </c>
      <c r="F656">
        <v>3360</v>
      </c>
      <c r="G656" t="s">
        <v>35</v>
      </c>
      <c r="H656" t="s">
        <v>16</v>
      </c>
      <c r="I656" t="s">
        <v>733</v>
      </c>
      <c r="J656" t="s">
        <v>734</v>
      </c>
      <c r="K656" t="s">
        <v>1809</v>
      </c>
      <c r="L656" t="str">
        <f>HYPERLINK("https://business-monitor.ch/de/companies/1306557-automobile-center-ajruli?utm_source=oberaargau","PROFIL ANSEHEN")</f>
        <v>PROFIL ANSEHEN</v>
      </c>
    </row>
    <row r="657" spans="1:12" x14ac:dyDescent="0.2">
      <c r="A657" t="s">
        <v>3990</v>
      </c>
      <c r="B657" t="s">
        <v>3991</v>
      </c>
      <c r="C657" t="s">
        <v>1812</v>
      </c>
      <c r="E657" t="s">
        <v>1108</v>
      </c>
      <c r="F657">
        <v>4900</v>
      </c>
      <c r="G657" t="s">
        <v>41</v>
      </c>
      <c r="H657" t="s">
        <v>16</v>
      </c>
      <c r="I657" t="s">
        <v>1841</v>
      </c>
      <c r="J657" t="s">
        <v>1842</v>
      </c>
      <c r="K657" t="s">
        <v>1809</v>
      </c>
      <c r="L657" t="str">
        <f>HYPERLINK("https://business-monitor.ch/de/companies/702534-podologie-hasler?utm_source=oberaargau","PROFIL ANSEHEN")</f>
        <v>PROFIL ANSEHEN</v>
      </c>
    </row>
    <row r="658" spans="1:12" x14ac:dyDescent="0.2">
      <c r="A658" t="s">
        <v>3219</v>
      </c>
      <c r="B658" t="s">
        <v>3220</v>
      </c>
      <c r="C658" t="s">
        <v>202</v>
      </c>
      <c r="E658" t="s">
        <v>3221</v>
      </c>
      <c r="F658">
        <v>3380</v>
      </c>
      <c r="G658" t="s">
        <v>29</v>
      </c>
      <c r="H658" t="s">
        <v>16</v>
      </c>
      <c r="I658" t="s">
        <v>153</v>
      </c>
      <c r="J658" t="s">
        <v>154</v>
      </c>
      <c r="K658" t="s">
        <v>1809</v>
      </c>
      <c r="L658" t="str">
        <f>HYPERLINK("https://business-monitor.ch/de/companies/274729-is-systems-gmbh?utm_source=oberaargau","PROFIL ANSEHEN")</f>
        <v>PROFIL ANSEHEN</v>
      </c>
    </row>
    <row r="659" spans="1:12" x14ac:dyDescent="0.2">
      <c r="A659" t="s">
        <v>6158</v>
      </c>
      <c r="B659" t="s">
        <v>6159</v>
      </c>
      <c r="C659" t="s">
        <v>13</v>
      </c>
      <c r="E659" t="s">
        <v>303</v>
      </c>
      <c r="F659">
        <v>4900</v>
      </c>
      <c r="G659" t="s">
        <v>41</v>
      </c>
      <c r="H659" t="s">
        <v>16</v>
      </c>
      <c r="I659" t="s">
        <v>1818</v>
      </c>
      <c r="J659" t="s">
        <v>1819</v>
      </c>
      <c r="K659" t="s">
        <v>1809</v>
      </c>
      <c r="L659" t="str">
        <f>HYPERLINK("https://business-monitor.ch/de/companies/391958-nvt-neuhaus-versicherungs-treuhand-ag?utm_source=oberaargau","PROFIL ANSEHEN")</f>
        <v>PROFIL ANSEHEN</v>
      </c>
    </row>
    <row r="660" spans="1:12" x14ac:dyDescent="0.2">
      <c r="A660" t="s">
        <v>7770</v>
      </c>
      <c r="B660" t="s">
        <v>7771</v>
      </c>
      <c r="C660" t="s">
        <v>1812</v>
      </c>
      <c r="E660" t="s">
        <v>3980</v>
      </c>
      <c r="F660">
        <v>4900</v>
      </c>
      <c r="G660" t="s">
        <v>41</v>
      </c>
      <c r="H660" t="s">
        <v>16</v>
      </c>
      <c r="I660" t="s">
        <v>2226</v>
      </c>
      <c r="J660" t="s">
        <v>2227</v>
      </c>
      <c r="K660" t="s">
        <v>1809</v>
      </c>
      <c r="L660" t="str">
        <f>HYPERLINK("https://business-monitor.ch/de/companies/574376-osteopathie-doris-eugster-burkhardt?utm_source=oberaargau","PROFIL ANSEHEN")</f>
        <v>PROFIL ANSEHEN</v>
      </c>
    </row>
    <row r="661" spans="1:12" x14ac:dyDescent="0.2">
      <c r="A661" t="s">
        <v>1972</v>
      </c>
      <c r="B661" t="s">
        <v>1973</v>
      </c>
      <c r="C661" t="s">
        <v>1812</v>
      </c>
      <c r="E661" t="s">
        <v>1974</v>
      </c>
      <c r="F661">
        <v>3360</v>
      </c>
      <c r="G661" t="s">
        <v>35</v>
      </c>
      <c r="H661" t="s">
        <v>16</v>
      </c>
      <c r="I661" t="s">
        <v>570</v>
      </c>
      <c r="J661" t="s">
        <v>571</v>
      </c>
      <c r="K661" t="s">
        <v>1809</v>
      </c>
      <c r="L661" t="str">
        <f>HYPERLINK("https://business-monitor.ch/de/companies/215063-air-tech-heizung-und-lueftung-reado-gissi?utm_source=oberaargau","PROFIL ANSEHEN")</f>
        <v>PROFIL ANSEHEN</v>
      </c>
    </row>
    <row r="662" spans="1:12" x14ac:dyDescent="0.2">
      <c r="A662" t="s">
        <v>12683</v>
      </c>
      <c r="B662" t="s">
        <v>12684</v>
      </c>
      <c r="C662" t="s">
        <v>13</v>
      </c>
      <c r="E662" t="s">
        <v>756</v>
      </c>
      <c r="F662">
        <v>3360</v>
      </c>
      <c r="G662" t="s">
        <v>35</v>
      </c>
      <c r="H662" t="s">
        <v>16</v>
      </c>
      <c r="I662" t="s">
        <v>1744</v>
      </c>
      <c r="J662" t="s">
        <v>1745</v>
      </c>
      <c r="K662" t="s">
        <v>1809</v>
      </c>
      <c r="L662" t="str">
        <f>HYPERLINK("https://business-monitor.ch/de/companies/1212643-futura-glas-ag?utm_source=oberaargau","PROFIL ANSEHEN")</f>
        <v>PROFIL ANSEHEN</v>
      </c>
    </row>
    <row r="663" spans="1:12" x14ac:dyDescent="0.2">
      <c r="A663" t="s">
        <v>2934</v>
      </c>
      <c r="B663" t="s">
        <v>2935</v>
      </c>
      <c r="C663" t="s">
        <v>13</v>
      </c>
      <c r="E663" t="s">
        <v>1547</v>
      </c>
      <c r="F663">
        <v>4900</v>
      </c>
      <c r="G663" t="s">
        <v>41</v>
      </c>
      <c r="H663" t="s">
        <v>16</v>
      </c>
      <c r="I663" t="s">
        <v>86</v>
      </c>
      <c r="J663" t="s">
        <v>87</v>
      </c>
      <c r="K663" t="s">
        <v>1809</v>
      </c>
      <c r="L663" t="str">
        <f>HYPERLINK("https://business-monitor.ch/de/companies/381749-kleintierpraxis-gelbe-pfote-ag?utm_source=oberaargau","PROFIL ANSEHEN")</f>
        <v>PROFIL ANSEHEN</v>
      </c>
    </row>
    <row r="664" spans="1:12" x14ac:dyDescent="0.2">
      <c r="A664" t="s">
        <v>5688</v>
      </c>
      <c r="B664" t="s">
        <v>5689</v>
      </c>
      <c r="C664" t="s">
        <v>1922</v>
      </c>
      <c r="E664" t="s">
        <v>5690</v>
      </c>
      <c r="F664">
        <v>3374</v>
      </c>
      <c r="G664" t="s">
        <v>894</v>
      </c>
      <c r="H664" t="s">
        <v>16</v>
      </c>
      <c r="I664" t="s">
        <v>1924</v>
      </c>
      <c r="J664" t="s">
        <v>1925</v>
      </c>
      <c r="K664" t="s">
        <v>1809</v>
      </c>
      <c r="L664" t="str">
        <f>HYPERLINK("https://business-monitor.ch/de/companies/180055-stiftung-kunst-hof?utm_source=oberaargau","PROFIL ANSEHEN")</f>
        <v>PROFIL ANSEHEN</v>
      </c>
    </row>
    <row r="665" spans="1:12" x14ac:dyDescent="0.2">
      <c r="A665" t="s">
        <v>2335</v>
      </c>
      <c r="B665" t="s">
        <v>2336</v>
      </c>
      <c r="C665" t="s">
        <v>202</v>
      </c>
      <c r="E665" t="s">
        <v>573</v>
      </c>
      <c r="F665">
        <v>4912</v>
      </c>
      <c r="G665" t="s">
        <v>64</v>
      </c>
      <c r="H665" t="s">
        <v>16</v>
      </c>
      <c r="I665" t="s">
        <v>2337</v>
      </c>
      <c r="J665" t="s">
        <v>2338</v>
      </c>
      <c r="K665" t="s">
        <v>1809</v>
      </c>
      <c r="L665" t="str">
        <f>HYPERLINK("https://business-monitor.ch/de/companies/216585-ficon-stalder-gmbh?utm_source=oberaargau","PROFIL ANSEHEN")</f>
        <v>PROFIL ANSEHEN</v>
      </c>
    </row>
    <row r="666" spans="1:12" x14ac:dyDescent="0.2">
      <c r="A666" t="s">
        <v>6123</v>
      </c>
      <c r="B666" t="s">
        <v>6124</v>
      </c>
      <c r="C666" t="s">
        <v>13</v>
      </c>
      <c r="E666" t="s">
        <v>6125</v>
      </c>
      <c r="F666">
        <v>4704</v>
      </c>
      <c r="G666" t="s">
        <v>221</v>
      </c>
      <c r="H666" t="s">
        <v>16</v>
      </c>
      <c r="I666" t="s">
        <v>4039</v>
      </c>
      <c r="J666" t="s">
        <v>4040</v>
      </c>
      <c r="K666" t="s">
        <v>1809</v>
      </c>
      <c r="L666" t="str">
        <f>HYPERLINK("https://business-monitor.ch/de/companies/687207-aura-fitness-ag?utm_source=oberaargau","PROFIL ANSEHEN")</f>
        <v>PROFIL ANSEHEN</v>
      </c>
    </row>
    <row r="667" spans="1:12" x14ac:dyDescent="0.2">
      <c r="A667" t="s">
        <v>11951</v>
      </c>
      <c r="B667" t="s">
        <v>11952</v>
      </c>
      <c r="C667" t="s">
        <v>202</v>
      </c>
      <c r="E667" t="s">
        <v>6604</v>
      </c>
      <c r="F667">
        <v>3360</v>
      </c>
      <c r="G667" t="s">
        <v>35</v>
      </c>
      <c r="H667" t="s">
        <v>16</v>
      </c>
      <c r="I667" t="s">
        <v>551</v>
      </c>
      <c r="J667" t="s">
        <v>552</v>
      </c>
      <c r="K667" t="s">
        <v>1809</v>
      </c>
      <c r="L667" t="str">
        <f>HYPERLINK("https://business-monitor.ch/de/companies/1168167-raro-buchsi-gmbh?utm_source=oberaargau","PROFIL ANSEHEN")</f>
        <v>PROFIL ANSEHEN</v>
      </c>
    </row>
    <row r="668" spans="1:12" x14ac:dyDescent="0.2">
      <c r="A668" t="s">
        <v>14212</v>
      </c>
      <c r="B668" t="s">
        <v>14213</v>
      </c>
      <c r="C668" t="s">
        <v>1812</v>
      </c>
      <c r="E668" t="s">
        <v>14214</v>
      </c>
      <c r="F668">
        <v>4913</v>
      </c>
      <c r="G668" t="s">
        <v>207</v>
      </c>
      <c r="H668" t="s">
        <v>16</v>
      </c>
      <c r="I668" t="s">
        <v>7624</v>
      </c>
      <c r="J668" t="s">
        <v>7625</v>
      </c>
      <c r="K668" t="s">
        <v>1809</v>
      </c>
      <c r="L668" t="str">
        <f>HYPERLINK("https://business-monitor.ch/de/companies/1293443-parascan-nicole-reber?utm_source=oberaargau","PROFIL ANSEHEN")</f>
        <v>PROFIL ANSEHEN</v>
      </c>
    </row>
    <row r="669" spans="1:12" x14ac:dyDescent="0.2">
      <c r="A669" t="s">
        <v>2914</v>
      </c>
      <c r="B669" t="s">
        <v>2915</v>
      </c>
      <c r="C669" t="s">
        <v>202</v>
      </c>
      <c r="E669" t="s">
        <v>2916</v>
      </c>
      <c r="F669">
        <v>4704</v>
      </c>
      <c r="G669" t="s">
        <v>221</v>
      </c>
      <c r="H669" t="s">
        <v>16</v>
      </c>
      <c r="I669" t="s">
        <v>153</v>
      </c>
      <c r="J669" t="s">
        <v>154</v>
      </c>
      <c r="K669" t="s">
        <v>1809</v>
      </c>
      <c r="L669" t="str">
        <f>HYPERLINK("https://business-monitor.ch/de/companies/390198-geoengineering-gmbh?utm_source=oberaargau","PROFIL ANSEHEN")</f>
        <v>PROFIL ANSEHEN</v>
      </c>
    </row>
    <row r="670" spans="1:12" x14ac:dyDescent="0.2">
      <c r="A670" t="s">
        <v>4368</v>
      </c>
      <c r="B670" t="s">
        <v>4369</v>
      </c>
      <c r="C670" t="s">
        <v>13</v>
      </c>
      <c r="E670" t="s">
        <v>11722</v>
      </c>
      <c r="F670">
        <v>4938</v>
      </c>
      <c r="G670" t="s">
        <v>618</v>
      </c>
      <c r="H670" t="s">
        <v>16</v>
      </c>
      <c r="I670" t="s">
        <v>4370</v>
      </c>
      <c r="J670" t="s">
        <v>4371</v>
      </c>
      <c r="K670" t="s">
        <v>1809</v>
      </c>
      <c r="L670" t="str">
        <f>HYPERLINK("https://business-monitor.ch/de/companies/953501-kiddy-dome-swiss-ag?utm_source=oberaargau","PROFIL ANSEHEN")</f>
        <v>PROFIL ANSEHEN</v>
      </c>
    </row>
    <row r="671" spans="1:12" x14ac:dyDescent="0.2">
      <c r="A671" t="s">
        <v>2264</v>
      </c>
      <c r="B671" t="s">
        <v>11298</v>
      </c>
      <c r="C671" t="s">
        <v>202</v>
      </c>
      <c r="E671" t="s">
        <v>12754</v>
      </c>
      <c r="F671">
        <v>4900</v>
      </c>
      <c r="G671" t="s">
        <v>41</v>
      </c>
      <c r="H671" t="s">
        <v>16</v>
      </c>
      <c r="I671" t="s">
        <v>824</v>
      </c>
      <c r="J671" t="s">
        <v>825</v>
      </c>
      <c r="K671" t="s">
        <v>1809</v>
      </c>
      <c r="L671" t="str">
        <f>HYPERLINK("https://business-monitor.ch/de/companies/357787-avr-immobilien-gmbh?utm_source=oberaargau","PROFIL ANSEHEN")</f>
        <v>PROFIL ANSEHEN</v>
      </c>
    </row>
    <row r="672" spans="1:12" x14ac:dyDescent="0.2">
      <c r="A672" t="s">
        <v>9508</v>
      </c>
      <c r="B672" t="s">
        <v>9509</v>
      </c>
      <c r="C672" t="s">
        <v>202</v>
      </c>
      <c r="E672" t="s">
        <v>9510</v>
      </c>
      <c r="F672">
        <v>4704</v>
      </c>
      <c r="G672" t="s">
        <v>221</v>
      </c>
      <c r="H672" t="s">
        <v>16</v>
      </c>
      <c r="I672" t="s">
        <v>232</v>
      </c>
      <c r="J672" t="s">
        <v>233</v>
      </c>
      <c r="K672" t="s">
        <v>1809</v>
      </c>
      <c r="L672" t="str">
        <f>HYPERLINK("https://business-monitor.ch/de/companies/680507-mf-treuhand-gmbh?utm_source=oberaargau","PROFIL ANSEHEN")</f>
        <v>PROFIL ANSEHEN</v>
      </c>
    </row>
    <row r="673" spans="1:12" x14ac:dyDescent="0.2">
      <c r="A673" t="s">
        <v>8544</v>
      </c>
      <c r="B673" t="s">
        <v>8545</v>
      </c>
      <c r="C673" t="s">
        <v>202</v>
      </c>
      <c r="E673" t="s">
        <v>1108</v>
      </c>
      <c r="F673">
        <v>4538</v>
      </c>
      <c r="G673" t="s">
        <v>71</v>
      </c>
      <c r="H673" t="s">
        <v>16</v>
      </c>
      <c r="I673" t="s">
        <v>1324</v>
      </c>
      <c r="J673" t="s">
        <v>1325</v>
      </c>
      <c r="K673" t="s">
        <v>1809</v>
      </c>
      <c r="L673" t="str">
        <f>HYPERLINK("https://business-monitor.ch/de/companies/497102-obi-montagen-gmbh?utm_source=oberaargau","PROFIL ANSEHEN")</f>
        <v>PROFIL ANSEHEN</v>
      </c>
    </row>
    <row r="674" spans="1:12" x14ac:dyDescent="0.2">
      <c r="A674" t="s">
        <v>8541</v>
      </c>
      <c r="B674" t="s">
        <v>8542</v>
      </c>
      <c r="C674" t="s">
        <v>13</v>
      </c>
      <c r="E674" t="s">
        <v>8543</v>
      </c>
      <c r="F674">
        <v>4912</v>
      </c>
      <c r="G674" t="s">
        <v>64</v>
      </c>
      <c r="H674" t="s">
        <v>16</v>
      </c>
      <c r="I674" t="s">
        <v>186</v>
      </c>
      <c r="J674" t="s">
        <v>187</v>
      </c>
      <c r="K674" t="s">
        <v>1809</v>
      </c>
      <c r="L674" t="str">
        <f>HYPERLINK("https://business-monitor.ch/de/companies/498572-hulliger-holding-ag?utm_source=oberaargau","PROFIL ANSEHEN")</f>
        <v>PROFIL ANSEHEN</v>
      </c>
    </row>
    <row r="675" spans="1:12" x14ac:dyDescent="0.2">
      <c r="A675" t="s">
        <v>6899</v>
      </c>
      <c r="B675" t="s">
        <v>6900</v>
      </c>
      <c r="C675" t="s">
        <v>84</v>
      </c>
      <c r="D675" t="s">
        <v>6901</v>
      </c>
      <c r="E675" t="s">
        <v>823</v>
      </c>
      <c r="F675">
        <v>4950</v>
      </c>
      <c r="G675" t="s">
        <v>15</v>
      </c>
      <c r="H675" t="s">
        <v>16</v>
      </c>
      <c r="I675" t="s">
        <v>3746</v>
      </c>
      <c r="J675" t="s">
        <v>3747</v>
      </c>
      <c r="K675" t="s">
        <v>1809</v>
      </c>
      <c r="L675" t="str">
        <f>HYPERLINK("https://business-monitor.ch/de/companies/23861-genossenschaft-regio-messe-huttwil?utm_source=oberaargau","PROFIL ANSEHEN")</f>
        <v>PROFIL ANSEHEN</v>
      </c>
    </row>
    <row r="676" spans="1:12" x14ac:dyDescent="0.2">
      <c r="A676" t="s">
        <v>10032</v>
      </c>
      <c r="B676" t="s">
        <v>10033</v>
      </c>
      <c r="C676" t="s">
        <v>202</v>
      </c>
      <c r="E676" t="s">
        <v>10034</v>
      </c>
      <c r="F676">
        <v>4933</v>
      </c>
      <c r="G676" t="s">
        <v>3812</v>
      </c>
      <c r="H676" t="s">
        <v>16</v>
      </c>
      <c r="I676" t="s">
        <v>1324</v>
      </c>
      <c r="J676" t="s">
        <v>1325</v>
      </c>
      <c r="K676" t="s">
        <v>1809</v>
      </c>
      <c r="L676" t="str">
        <f>HYPERLINK("https://business-monitor.ch/de/companies/702924-hubi-montagen-gmbh?utm_source=oberaargau","PROFIL ANSEHEN")</f>
        <v>PROFIL ANSEHEN</v>
      </c>
    </row>
    <row r="677" spans="1:12" x14ac:dyDescent="0.2">
      <c r="A677" t="s">
        <v>12747</v>
      </c>
      <c r="B677" t="s">
        <v>12748</v>
      </c>
      <c r="C677" t="s">
        <v>1812</v>
      </c>
      <c r="E677" t="s">
        <v>1911</v>
      </c>
      <c r="F677">
        <v>4537</v>
      </c>
      <c r="G677" t="s">
        <v>113</v>
      </c>
      <c r="H677" t="s">
        <v>16</v>
      </c>
      <c r="I677" t="s">
        <v>4547</v>
      </c>
      <c r="J677" t="s">
        <v>4548</v>
      </c>
      <c r="K677" t="s">
        <v>1809</v>
      </c>
      <c r="L677" t="str">
        <f>HYPERLINK("https://business-monitor.ch/de/companies/1217027-denner-partner-wiedlisbach-inh-driton-murtisi?utm_source=oberaargau","PROFIL ANSEHEN")</f>
        <v>PROFIL ANSEHEN</v>
      </c>
    </row>
    <row r="678" spans="1:12" x14ac:dyDescent="0.2">
      <c r="A678" t="s">
        <v>13790</v>
      </c>
      <c r="B678" t="s">
        <v>13791</v>
      </c>
      <c r="C678" t="s">
        <v>202</v>
      </c>
      <c r="D678" t="s">
        <v>13575</v>
      </c>
      <c r="E678" t="s">
        <v>2066</v>
      </c>
      <c r="F678">
        <v>4900</v>
      </c>
      <c r="G678" t="s">
        <v>41</v>
      </c>
      <c r="H678" t="s">
        <v>16</v>
      </c>
      <c r="I678" t="s">
        <v>182</v>
      </c>
      <c r="J678" t="s">
        <v>183</v>
      </c>
      <c r="K678" t="s">
        <v>1809</v>
      </c>
      <c r="L678" t="str">
        <f>HYPERLINK("https://business-monitor.ch/de/companies/1265766-erbil-beteiligungen-gmbh?utm_source=oberaargau","PROFIL ANSEHEN")</f>
        <v>PROFIL ANSEHEN</v>
      </c>
    </row>
    <row r="679" spans="1:12" x14ac:dyDescent="0.2">
      <c r="A679" t="s">
        <v>5799</v>
      </c>
      <c r="B679" t="s">
        <v>5800</v>
      </c>
      <c r="C679" t="s">
        <v>13</v>
      </c>
      <c r="E679" t="s">
        <v>402</v>
      </c>
      <c r="F679">
        <v>4900</v>
      </c>
      <c r="G679" t="s">
        <v>41</v>
      </c>
      <c r="H679" t="s">
        <v>16</v>
      </c>
      <c r="I679" t="s">
        <v>475</v>
      </c>
      <c r="J679" t="s">
        <v>476</v>
      </c>
      <c r="K679" t="s">
        <v>1809</v>
      </c>
      <c r="L679" t="str">
        <f>HYPERLINK("https://business-monitor.ch/de/companies/74142-rimot-engineering-ag?utm_source=oberaargau","PROFIL ANSEHEN")</f>
        <v>PROFIL ANSEHEN</v>
      </c>
    </row>
    <row r="680" spans="1:12" x14ac:dyDescent="0.2">
      <c r="A680" t="s">
        <v>8386</v>
      </c>
      <c r="B680" t="s">
        <v>8387</v>
      </c>
      <c r="C680" t="s">
        <v>84</v>
      </c>
      <c r="D680" t="s">
        <v>8388</v>
      </c>
      <c r="E680" t="s">
        <v>8389</v>
      </c>
      <c r="F680">
        <v>4932</v>
      </c>
      <c r="G680" t="s">
        <v>325</v>
      </c>
      <c r="H680" t="s">
        <v>16</v>
      </c>
      <c r="I680" t="s">
        <v>1409</v>
      </c>
      <c r="J680" t="s">
        <v>1410</v>
      </c>
      <c r="K680" t="s">
        <v>1809</v>
      </c>
      <c r="L680" t="str">
        <f>HYPERLINK("https://business-monitor.ch/de/companies/54837-milchgenossenschaft-lotzwil?utm_source=oberaargau","PROFIL ANSEHEN")</f>
        <v>PROFIL ANSEHEN</v>
      </c>
    </row>
    <row r="681" spans="1:12" x14ac:dyDescent="0.2">
      <c r="A681" t="s">
        <v>13775</v>
      </c>
      <c r="B681" t="s">
        <v>13776</v>
      </c>
      <c r="C681" t="s">
        <v>202</v>
      </c>
      <c r="E681" t="s">
        <v>13777</v>
      </c>
      <c r="F681">
        <v>4952</v>
      </c>
      <c r="G681" t="s">
        <v>474</v>
      </c>
      <c r="H681" t="s">
        <v>16</v>
      </c>
      <c r="I681" t="s">
        <v>858</v>
      </c>
      <c r="J681" t="s">
        <v>859</v>
      </c>
      <c r="K681" t="s">
        <v>1809</v>
      </c>
      <c r="L681" t="str">
        <f>HYPERLINK("https://business-monitor.ch/de/companies/1267501-stema-beschichtungen-gmbh?utm_source=oberaargau","PROFIL ANSEHEN")</f>
        <v>PROFIL ANSEHEN</v>
      </c>
    </row>
    <row r="682" spans="1:12" x14ac:dyDescent="0.2">
      <c r="A682" t="s">
        <v>5887</v>
      </c>
      <c r="B682" t="s">
        <v>5888</v>
      </c>
      <c r="C682" t="s">
        <v>1812</v>
      </c>
      <c r="E682" t="s">
        <v>2938</v>
      </c>
      <c r="F682">
        <v>4952</v>
      </c>
      <c r="G682" t="s">
        <v>474</v>
      </c>
      <c r="H682" t="s">
        <v>16</v>
      </c>
      <c r="I682" t="s">
        <v>153</v>
      </c>
      <c r="J682" t="s">
        <v>154</v>
      </c>
      <c r="K682" t="s">
        <v>1809</v>
      </c>
      <c r="L682" t="str">
        <f>HYPERLINK("https://business-monitor.ch/de/companies/502301-ecotec-straumann?utm_source=oberaargau","PROFIL ANSEHEN")</f>
        <v>PROFIL ANSEHEN</v>
      </c>
    </row>
    <row r="683" spans="1:12" x14ac:dyDescent="0.2">
      <c r="A683" t="s">
        <v>9955</v>
      </c>
      <c r="B683" t="s">
        <v>9956</v>
      </c>
      <c r="C683" t="s">
        <v>1812</v>
      </c>
      <c r="E683" t="s">
        <v>9957</v>
      </c>
      <c r="F683">
        <v>3380</v>
      </c>
      <c r="G683" t="s">
        <v>29</v>
      </c>
      <c r="H683" t="s">
        <v>16</v>
      </c>
      <c r="I683" t="s">
        <v>603</v>
      </c>
      <c r="J683" t="s">
        <v>604</v>
      </c>
      <c r="K683" t="s">
        <v>1809</v>
      </c>
      <c r="L683" t="str">
        <f>HYPERLINK("https://business-monitor.ch/de/companies/940124-fitness-and-more-by-buergisser?utm_source=oberaargau","PROFIL ANSEHEN")</f>
        <v>PROFIL ANSEHEN</v>
      </c>
    </row>
    <row r="684" spans="1:12" x14ac:dyDescent="0.2">
      <c r="A684" t="s">
        <v>2507</v>
      </c>
      <c r="B684" t="s">
        <v>2508</v>
      </c>
      <c r="C684" t="s">
        <v>1812</v>
      </c>
      <c r="F684">
        <v>3376</v>
      </c>
      <c r="G684" t="s">
        <v>2012</v>
      </c>
      <c r="H684" t="s">
        <v>16</v>
      </c>
      <c r="I684" t="s">
        <v>2509</v>
      </c>
      <c r="J684" t="s">
        <v>2510</v>
      </c>
      <c r="K684" t="s">
        <v>1809</v>
      </c>
      <c r="L684" t="str">
        <f>HYPERLINK("https://business-monitor.ch/de/companies/231040-peter-ryser?utm_source=oberaargau","PROFIL ANSEHEN")</f>
        <v>PROFIL ANSEHEN</v>
      </c>
    </row>
    <row r="685" spans="1:12" x14ac:dyDescent="0.2">
      <c r="A685" t="s">
        <v>9953</v>
      </c>
      <c r="B685" t="s">
        <v>9954</v>
      </c>
      <c r="C685" t="s">
        <v>1812</v>
      </c>
      <c r="E685" t="s">
        <v>9222</v>
      </c>
      <c r="F685">
        <v>4922</v>
      </c>
      <c r="G685" t="s">
        <v>99</v>
      </c>
      <c r="H685" t="s">
        <v>16</v>
      </c>
      <c r="I685" t="s">
        <v>1097</v>
      </c>
      <c r="J685" t="s">
        <v>1098</v>
      </c>
      <c r="K685" t="s">
        <v>1809</v>
      </c>
      <c r="L685" t="str">
        <f>HYPERLINK("https://business-monitor.ch/de/companies/941079-roshi-khurram-siddiqui?utm_source=oberaargau","PROFIL ANSEHEN")</f>
        <v>PROFIL ANSEHEN</v>
      </c>
    </row>
    <row r="686" spans="1:12" x14ac:dyDescent="0.2">
      <c r="A686" t="s">
        <v>5056</v>
      </c>
      <c r="B686" t="s">
        <v>5057</v>
      </c>
      <c r="C686" t="s">
        <v>1812</v>
      </c>
      <c r="E686" t="s">
        <v>3706</v>
      </c>
      <c r="F686">
        <v>4914</v>
      </c>
      <c r="G686" t="s">
        <v>105</v>
      </c>
      <c r="H686" t="s">
        <v>16</v>
      </c>
      <c r="I686" t="s">
        <v>4205</v>
      </c>
      <c r="J686" t="s">
        <v>4206</v>
      </c>
      <c r="K686" t="s">
        <v>1809</v>
      </c>
      <c r="L686" t="str">
        <f>HYPERLINK("https://business-monitor.ch/de/companies/244350-nyffenegger?utm_source=oberaargau","PROFIL ANSEHEN")</f>
        <v>PROFIL ANSEHEN</v>
      </c>
    </row>
    <row r="687" spans="1:12" x14ac:dyDescent="0.2">
      <c r="A687" t="s">
        <v>5236</v>
      </c>
      <c r="B687" t="s">
        <v>10492</v>
      </c>
      <c r="C687" t="s">
        <v>1812</v>
      </c>
      <c r="E687" t="s">
        <v>4944</v>
      </c>
      <c r="F687">
        <v>4912</v>
      </c>
      <c r="G687" t="s">
        <v>64</v>
      </c>
      <c r="H687" t="s">
        <v>16</v>
      </c>
      <c r="I687" t="s">
        <v>3864</v>
      </c>
      <c r="J687" t="s">
        <v>3865</v>
      </c>
      <c r="K687" t="s">
        <v>1809</v>
      </c>
      <c r="L687" t="str">
        <f>HYPERLINK("https://business-monitor.ch/de/companies/347844-foto-haefeli?utm_source=oberaargau","PROFIL ANSEHEN")</f>
        <v>PROFIL ANSEHEN</v>
      </c>
    </row>
    <row r="688" spans="1:12" x14ac:dyDescent="0.2">
      <c r="A688" t="s">
        <v>1568</v>
      </c>
      <c r="B688" t="s">
        <v>1569</v>
      </c>
      <c r="C688" t="s">
        <v>84</v>
      </c>
      <c r="D688" t="s">
        <v>1570</v>
      </c>
      <c r="E688" t="s">
        <v>1571</v>
      </c>
      <c r="F688">
        <v>4950</v>
      </c>
      <c r="G688" t="s">
        <v>15</v>
      </c>
      <c r="H688" t="s">
        <v>16</v>
      </c>
      <c r="I688" t="s">
        <v>344</v>
      </c>
      <c r="J688" t="s">
        <v>345</v>
      </c>
      <c r="K688" t="s">
        <v>1809</v>
      </c>
      <c r="L688" t="str">
        <f>HYPERLINK("https://business-monitor.ch/de/companies/155551-kaesereigenossenschaft-raetschen?utm_source=oberaargau","PROFIL ANSEHEN")</f>
        <v>PROFIL ANSEHEN</v>
      </c>
    </row>
    <row r="689" spans="1:12" x14ac:dyDescent="0.2">
      <c r="A689" t="s">
        <v>12760</v>
      </c>
      <c r="B689" t="s">
        <v>12761</v>
      </c>
      <c r="C689" t="s">
        <v>202</v>
      </c>
      <c r="D689" t="s">
        <v>12762</v>
      </c>
      <c r="E689" t="s">
        <v>12390</v>
      </c>
      <c r="F689">
        <v>4916</v>
      </c>
      <c r="G689" t="s">
        <v>780</v>
      </c>
      <c r="H689" t="s">
        <v>16</v>
      </c>
      <c r="I689" t="s">
        <v>134</v>
      </c>
      <c r="J689" t="s">
        <v>135</v>
      </c>
      <c r="K689" t="s">
        <v>1809</v>
      </c>
      <c r="L689" t="str">
        <f>HYPERLINK("https://business-monitor.ch/de/companies/1220625-kabelbau-d-meister-gmbh?utm_source=oberaargau","PROFIL ANSEHEN")</f>
        <v>PROFIL ANSEHEN</v>
      </c>
    </row>
    <row r="690" spans="1:12" x14ac:dyDescent="0.2">
      <c r="A690" t="s">
        <v>8729</v>
      </c>
      <c r="B690" t="s">
        <v>8730</v>
      </c>
      <c r="C690" t="s">
        <v>202</v>
      </c>
      <c r="E690" t="s">
        <v>8731</v>
      </c>
      <c r="F690">
        <v>4900</v>
      </c>
      <c r="G690" t="s">
        <v>41</v>
      </c>
      <c r="H690" t="s">
        <v>16</v>
      </c>
      <c r="I690" t="s">
        <v>1535</v>
      </c>
      <c r="J690" t="s">
        <v>1536</v>
      </c>
      <c r="K690" t="s">
        <v>1809</v>
      </c>
      <c r="L690" t="str">
        <f>HYPERLINK("https://business-monitor.ch/de/companies/386678-gartenprofis-wojacek-gmbh?utm_source=oberaargau","PROFIL ANSEHEN")</f>
        <v>PROFIL ANSEHEN</v>
      </c>
    </row>
    <row r="691" spans="1:12" x14ac:dyDescent="0.2">
      <c r="A691" t="s">
        <v>4400</v>
      </c>
      <c r="B691" t="s">
        <v>4401</v>
      </c>
      <c r="C691" t="s">
        <v>1812</v>
      </c>
      <c r="E691" t="s">
        <v>4402</v>
      </c>
      <c r="F691">
        <v>4536</v>
      </c>
      <c r="G691" t="s">
        <v>1395</v>
      </c>
      <c r="H691" t="s">
        <v>16</v>
      </c>
      <c r="I691" t="s">
        <v>3217</v>
      </c>
      <c r="J691" t="s">
        <v>3218</v>
      </c>
      <c r="K691" t="s">
        <v>1809</v>
      </c>
      <c r="L691" t="str">
        <f>HYPERLINK("https://business-monitor.ch/de/companies/941948-slishani-kiti-fleischhandel?utm_source=oberaargau","PROFIL ANSEHEN")</f>
        <v>PROFIL ANSEHEN</v>
      </c>
    </row>
    <row r="692" spans="1:12" x14ac:dyDescent="0.2">
      <c r="A692" t="s">
        <v>8581</v>
      </c>
      <c r="B692" t="s">
        <v>8582</v>
      </c>
      <c r="C692" t="s">
        <v>202</v>
      </c>
      <c r="E692" t="s">
        <v>8583</v>
      </c>
      <c r="F692">
        <v>3373</v>
      </c>
      <c r="G692" t="s">
        <v>2697</v>
      </c>
      <c r="H692" t="s">
        <v>16</v>
      </c>
      <c r="I692" t="s">
        <v>2962</v>
      </c>
      <c r="J692" t="s">
        <v>2963</v>
      </c>
      <c r="K692" t="s">
        <v>1809</v>
      </c>
      <c r="L692" t="str">
        <f>HYPERLINK("https://business-monitor.ch/de/companies/1073484-e-check-burgunder-gmbh?utm_source=oberaargau","PROFIL ANSEHEN")</f>
        <v>PROFIL ANSEHEN</v>
      </c>
    </row>
    <row r="693" spans="1:12" x14ac:dyDescent="0.2">
      <c r="A693" t="s">
        <v>7921</v>
      </c>
      <c r="B693" t="s">
        <v>7922</v>
      </c>
      <c r="C693" t="s">
        <v>1827</v>
      </c>
      <c r="E693" t="s">
        <v>564</v>
      </c>
      <c r="F693">
        <v>4950</v>
      </c>
      <c r="G693" t="s">
        <v>15</v>
      </c>
      <c r="H693" t="s">
        <v>16</v>
      </c>
      <c r="I693" t="s">
        <v>955</v>
      </c>
      <c r="J693" t="s">
        <v>956</v>
      </c>
      <c r="K693" t="s">
        <v>1809</v>
      </c>
      <c r="L693" t="str">
        <f>HYPERLINK("https://business-monitor.ch/de/companies/173792-schulthess-co?utm_source=oberaargau","PROFIL ANSEHEN")</f>
        <v>PROFIL ANSEHEN</v>
      </c>
    </row>
    <row r="694" spans="1:12" x14ac:dyDescent="0.2">
      <c r="A694" t="s">
        <v>5441</v>
      </c>
      <c r="B694" t="s">
        <v>5442</v>
      </c>
      <c r="C694" t="s">
        <v>13</v>
      </c>
      <c r="E694" t="s">
        <v>1190</v>
      </c>
      <c r="F694">
        <v>4900</v>
      </c>
      <c r="G694" t="s">
        <v>41</v>
      </c>
      <c r="H694" t="s">
        <v>16</v>
      </c>
      <c r="I694" t="s">
        <v>587</v>
      </c>
      <c r="J694" t="s">
        <v>588</v>
      </c>
      <c r="K694" t="s">
        <v>1809</v>
      </c>
      <c r="L694" t="str">
        <f>HYPERLINK("https://business-monitor.ch/de/companies/218354-born-grimm-ag?utm_source=oberaargau","PROFIL ANSEHEN")</f>
        <v>PROFIL ANSEHEN</v>
      </c>
    </row>
    <row r="695" spans="1:12" x14ac:dyDescent="0.2">
      <c r="A695" t="s">
        <v>8497</v>
      </c>
      <c r="B695" t="s">
        <v>8498</v>
      </c>
      <c r="C695" t="s">
        <v>202</v>
      </c>
      <c r="E695" t="s">
        <v>7325</v>
      </c>
      <c r="F695">
        <v>3380</v>
      </c>
      <c r="G695" t="s">
        <v>29</v>
      </c>
      <c r="H695" t="s">
        <v>16</v>
      </c>
      <c r="I695" t="s">
        <v>7448</v>
      </c>
      <c r="J695" t="s">
        <v>7449</v>
      </c>
      <c r="K695" t="s">
        <v>1809</v>
      </c>
      <c r="L695" t="str">
        <f>HYPERLINK("https://business-monitor.ch/de/companies/511521-energieholz-wangen-gmbh?utm_source=oberaargau","PROFIL ANSEHEN")</f>
        <v>PROFIL ANSEHEN</v>
      </c>
    </row>
    <row r="696" spans="1:12" x14ac:dyDescent="0.2">
      <c r="A696" t="s">
        <v>9064</v>
      </c>
      <c r="B696" t="s">
        <v>9065</v>
      </c>
      <c r="C696" t="s">
        <v>1812</v>
      </c>
      <c r="E696" t="s">
        <v>7632</v>
      </c>
      <c r="F696">
        <v>4934</v>
      </c>
      <c r="G696" t="s">
        <v>670</v>
      </c>
      <c r="H696" t="s">
        <v>16</v>
      </c>
      <c r="I696" t="s">
        <v>2231</v>
      </c>
      <c r="J696" t="s">
        <v>2232</v>
      </c>
      <c r="K696" t="s">
        <v>1809</v>
      </c>
      <c r="L696" t="str">
        <f>HYPERLINK("https://business-monitor.ch/de/companies/184855-malergeschaeft-waelchli?utm_source=oberaargau","PROFIL ANSEHEN")</f>
        <v>PROFIL ANSEHEN</v>
      </c>
    </row>
    <row r="697" spans="1:12" x14ac:dyDescent="0.2">
      <c r="A697" t="s">
        <v>4616</v>
      </c>
      <c r="B697" t="s">
        <v>4617</v>
      </c>
      <c r="C697" t="s">
        <v>1812</v>
      </c>
      <c r="E697" t="s">
        <v>11128</v>
      </c>
      <c r="F697">
        <v>4900</v>
      </c>
      <c r="G697" t="s">
        <v>41</v>
      </c>
      <c r="H697" t="s">
        <v>16</v>
      </c>
      <c r="I697" t="s">
        <v>1860</v>
      </c>
      <c r="J697" t="s">
        <v>1861</v>
      </c>
      <c r="K697" t="s">
        <v>1809</v>
      </c>
      <c r="L697" t="str">
        <f>HYPERLINK("https://business-monitor.ch/de/companies/635566-braimi-s-barbershop?utm_source=oberaargau","PROFIL ANSEHEN")</f>
        <v>PROFIL ANSEHEN</v>
      </c>
    </row>
    <row r="698" spans="1:12" x14ac:dyDescent="0.2">
      <c r="A698" t="s">
        <v>13763</v>
      </c>
      <c r="B698" t="s">
        <v>13764</v>
      </c>
      <c r="C698" t="s">
        <v>202</v>
      </c>
      <c r="E698" t="s">
        <v>2238</v>
      </c>
      <c r="F698">
        <v>4932</v>
      </c>
      <c r="G698" t="s">
        <v>325</v>
      </c>
      <c r="H698" t="s">
        <v>16</v>
      </c>
      <c r="I698" t="s">
        <v>1860</v>
      </c>
      <c r="J698" t="s">
        <v>1861</v>
      </c>
      <c r="K698" t="s">
        <v>1809</v>
      </c>
      <c r="L698" t="str">
        <f>HYPERLINK("https://business-monitor.ch/de/companies/1259929-haarmonie-lotzwil-gmbh?utm_source=oberaargau","PROFIL ANSEHEN")</f>
        <v>PROFIL ANSEHEN</v>
      </c>
    </row>
    <row r="699" spans="1:12" x14ac:dyDescent="0.2">
      <c r="A699" t="s">
        <v>13820</v>
      </c>
      <c r="B699" t="s">
        <v>13821</v>
      </c>
      <c r="C699" t="s">
        <v>202</v>
      </c>
      <c r="D699" t="s">
        <v>5932</v>
      </c>
      <c r="E699" t="s">
        <v>5933</v>
      </c>
      <c r="F699">
        <v>4912</v>
      </c>
      <c r="G699" t="s">
        <v>64</v>
      </c>
      <c r="H699" t="s">
        <v>16</v>
      </c>
      <c r="I699" t="s">
        <v>182</v>
      </c>
      <c r="J699" t="s">
        <v>183</v>
      </c>
      <c r="K699" t="s">
        <v>1809</v>
      </c>
      <c r="L699" t="str">
        <f>HYPERLINK("https://business-monitor.ch/de/companies/1264713-sarobe-holding-gmbh?utm_source=oberaargau","PROFIL ANSEHEN")</f>
        <v>PROFIL ANSEHEN</v>
      </c>
    </row>
    <row r="700" spans="1:12" x14ac:dyDescent="0.2">
      <c r="A700" t="s">
        <v>13534</v>
      </c>
      <c r="B700" t="s">
        <v>13535</v>
      </c>
      <c r="C700" t="s">
        <v>202</v>
      </c>
      <c r="E700" t="s">
        <v>569</v>
      </c>
      <c r="F700">
        <v>3360</v>
      </c>
      <c r="G700" t="s">
        <v>35</v>
      </c>
      <c r="H700" t="s">
        <v>16</v>
      </c>
      <c r="I700" t="s">
        <v>642</v>
      </c>
      <c r="J700" t="s">
        <v>643</v>
      </c>
      <c r="K700" t="s">
        <v>1809</v>
      </c>
      <c r="L700" t="str">
        <f>HYPERLINK("https://business-monitor.ch/de/companies/1263509-nb-fahrzeugbau-gmbh?utm_source=oberaargau","PROFIL ANSEHEN")</f>
        <v>PROFIL ANSEHEN</v>
      </c>
    </row>
    <row r="701" spans="1:12" x14ac:dyDescent="0.2">
      <c r="A701" t="s">
        <v>7617</v>
      </c>
      <c r="B701" t="s">
        <v>7618</v>
      </c>
      <c r="C701" t="s">
        <v>202</v>
      </c>
      <c r="E701" t="s">
        <v>5657</v>
      </c>
      <c r="F701">
        <v>4936</v>
      </c>
      <c r="G701" t="s">
        <v>768</v>
      </c>
      <c r="H701" t="s">
        <v>16</v>
      </c>
      <c r="I701" t="s">
        <v>551</v>
      </c>
      <c r="J701" t="s">
        <v>552</v>
      </c>
      <c r="K701" t="s">
        <v>1809</v>
      </c>
      <c r="L701" t="str">
        <f>HYPERLINK("https://business-monitor.ch/de/companies/660794-pink-point-gmbh?utm_source=oberaargau","PROFIL ANSEHEN")</f>
        <v>PROFIL ANSEHEN</v>
      </c>
    </row>
    <row r="702" spans="1:12" x14ac:dyDescent="0.2">
      <c r="A702" t="s">
        <v>13676</v>
      </c>
      <c r="B702" t="s">
        <v>13677</v>
      </c>
      <c r="C702" t="s">
        <v>13</v>
      </c>
      <c r="E702" t="s">
        <v>7288</v>
      </c>
      <c r="F702">
        <v>4704</v>
      </c>
      <c r="G702" t="s">
        <v>221</v>
      </c>
      <c r="H702" t="s">
        <v>16</v>
      </c>
      <c r="I702" t="s">
        <v>551</v>
      </c>
      <c r="J702" t="s">
        <v>552</v>
      </c>
      <c r="K702" t="s">
        <v>1809</v>
      </c>
      <c r="L702" t="str">
        <f>HYPERLINK("https://business-monitor.ch/de/companies/1260472-bcbb-ag?utm_source=oberaargau","PROFIL ANSEHEN")</f>
        <v>PROFIL ANSEHEN</v>
      </c>
    </row>
    <row r="703" spans="1:12" x14ac:dyDescent="0.2">
      <c r="A703" t="s">
        <v>13940</v>
      </c>
      <c r="B703" t="s">
        <v>13941</v>
      </c>
      <c r="C703" t="s">
        <v>1812</v>
      </c>
      <c r="E703" t="s">
        <v>13524</v>
      </c>
      <c r="F703">
        <v>4704</v>
      </c>
      <c r="G703" t="s">
        <v>221</v>
      </c>
      <c r="H703" t="s">
        <v>16</v>
      </c>
      <c r="I703" t="s">
        <v>8901</v>
      </c>
      <c r="J703" t="s">
        <v>8902</v>
      </c>
      <c r="K703" t="s">
        <v>1809</v>
      </c>
      <c r="L703" t="str">
        <f>HYPERLINK("https://business-monitor.ch/de/companies/1274957-bettina-zbinden?utm_source=oberaargau","PROFIL ANSEHEN")</f>
        <v>PROFIL ANSEHEN</v>
      </c>
    </row>
    <row r="704" spans="1:12" x14ac:dyDescent="0.2">
      <c r="A704" t="s">
        <v>13650</v>
      </c>
      <c r="B704" t="s">
        <v>13651</v>
      </c>
      <c r="C704" t="s">
        <v>202</v>
      </c>
      <c r="E704" t="s">
        <v>13652</v>
      </c>
      <c r="F704">
        <v>4937</v>
      </c>
      <c r="G704" t="s">
        <v>951</v>
      </c>
      <c r="H704" t="s">
        <v>16</v>
      </c>
      <c r="I704" t="s">
        <v>464</v>
      </c>
      <c r="J704" t="s">
        <v>465</v>
      </c>
      <c r="K704" t="s">
        <v>1809</v>
      </c>
      <c r="L704" t="str">
        <f>HYPERLINK("https://business-monitor.ch/de/companies/1267034-jacky-s-racing-gmbh?utm_source=oberaargau","PROFIL ANSEHEN")</f>
        <v>PROFIL ANSEHEN</v>
      </c>
    </row>
    <row r="705" spans="1:12" x14ac:dyDescent="0.2">
      <c r="A705" t="s">
        <v>13965</v>
      </c>
      <c r="B705" t="s">
        <v>13966</v>
      </c>
      <c r="C705" t="s">
        <v>13</v>
      </c>
      <c r="E705" t="s">
        <v>166</v>
      </c>
      <c r="F705">
        <v>4900</v>
      </c>
      <c r="G705" t="s">
        <v>41</v>
      </c>
      <c r="H705" t="s">
        <v>16</v>
      </c>
      <c r="I705" t="s">
        <v>186</v>
      </c>
      <c r="J705" t="s">
        <v>187</v>
      </c>
      <c r="K705" t="s">
        <v>1809</v>
      </c>
      <c r="L705" t="str">
        <f>HYPERLINK("https://business-monitor.ch/de/companies/1275314-emilou-ag?utm_source=oberaargau","PROFIL ANSEHEN")</f>
        <v>PROFIL ANSEHEN</v>
      </c>
    </row>
    <row r="706" spans="1:12" x14ac:dyDescent="0.2">
      <c r="A706" t="s">
        <v>10197</v>
      </c>
      <c r="B706" t="s">
        <v>10198</v>
      </c>
      <c r="C706" t="s">
        <v>202</v>
      </c>
      <c r="E706" t="s">
        <v>10199</v>
      </c>
      <c r="F706">
        <v>4912</v>
      </c>
      <c r="G706" t="s">
        <v>64</v>
      </c>
      <c r="H706" t="s">
        <v>16</v>
      </c>
      <c r="I706" t="s">
        <v>662</v>
      </c>
      <c r="J706" t="s">
        <v>663</v>
      </c>
      <c r="K706" t="s">
        <v>1809</v>
      </c>
      <c r="L706" t="str">
        <f>HYPERLINK("https://business-monitor.ch/de/companies/619176-klaentschi-bedachungen-gmbh?utm_source=oberaargau","PROFIL ANSEHEN")</f>
        <v>PROFIL ANSEHEN</v>
      </c>
    </row>
    <row r="707" spans="1:12" x14ac:dyDescent="0.2">
      <c r="A707" t="s">
        <v>6687</v>
      </c>
      <c r="B707" t="s">
        <v>6688</v>
      </c>
      <c r="C707" t="s">
        <v>1812</v>
      </c>
      <c r="E707" t="s">
        <v>6689</v>
      </c>
      <c r="F707">
        <v>4953</v>
      </c>
      <c r="G707" t="s">
        <v>416</v>
      </c>
      <c r="H707" t="s">
        <v>16</v>
      </c>
      <c r="I707" t="s">
        <v>36</v>
      </c>
      <c r="J707" t="s">
        <v>37</v>
      </c>
      <c r="K707" t="s">
        <v>1809</v>
      </c>
      <c r="L707" t="str">
        <f>HYPERLINK("https://business-monitor.ch/de/companies/173398-grastrocknerei-huttwil-fritz-spichiger?utm_source=oberaargau","PROFIL ANSEHEN")</f>
        <v>PROFIL ANSEHEN</v>
      </c>
    </row>
    <row r="708" spans="1:12" x14ac:dyDescent="0.2">
      <c r="A708" t="s">
        <v>7852</v>
      </c>
      <c r="B708" t="s">
        <v>7853</v>
      </c>
      <c r="C708" t="s">
        <v>1812</v>
      </c>
      <c r="F708">
        <v>4955</v>
      </c>
      <c r="G708" t="s">
        <v>684</v>
      </c>
      <c r="H708" t="s">
        <v>16</v>
      </c>
      <c r="I708" t="s">
        <v>1470</v>
      </c>
      <c r="J708" t="s">
        <v>1471</v>
      </c>
      <c r="K708" t="s">
        <v>1809</v>
      </c>
      <c r="L708" t="str">
        <f>HYPERLINK("https://business-monitor.ch/de/companies/45755-montagebau-adrian-bortolotti?utm_source=oberaargau","PROFIL ANSEHEN")</f>
        <v>PROFIL ANSEHEN</v>
      </c>
    </row>
    <row r="709" spans="1:12" x14ac:dyDescent="0.2">
      <c r="A709" t="s">
        <v>5524</v>
      </c>
      <c r="B709" t="s">
        <v>5525</v>
      </c>
      <c r="C709" t="s">
        <v>84</v>
      </c>
      <c r="D709" t="s">
        <v>5526</v>
      </c>
      <c r="E709" t="s">
        <v>5527</v>
      </c>
      <c r="F709">
        <v>4919</v>
      </c>
      <c r="G709" t="s">
        <v>3489</v>
      </c>
      <c r="H709" t="s">
        <v>16</v>
      </c>
      <c r="I709" t="s">
        <v>100</v>
      </c>
      <c r="J709" t="s">
        <v>101</v>
      </c>
      <c r="K709" t="s">
        <v>1809</v>
      </c>
      <c r="L709" t="str">
        <f>HYPERLINK("https://business-monitor.ch/de/companies/92025-milchgenossenschaft-reisiswil?utm_source=oberaargau","PROFIL ANSEHEN")</f>
        <v>PROFIL ANSEHEN</v>
      </c>
    </row>
    <row r="710" spans="1:12" x14ac:dyDescent="0.2">
      <c r="A710" t="s">
        <v>7021</v>
      </c>
      <c r="B710" t="s">
        <v>7022</v>
      </c>
      <c r="C710" t="s">
        <v>1922</v>
      </c>
      <c r="D710" t="s">
        <v>7023</v>
      </c>
      <c r="E710" t="s">
        <v>7024</v>
      </c>
      <c r="F710">
        <v>4900</v>
      </c>
      <c r="G710" t="s">
        <v>41</v>
      </c>
      <c r="H710" t="s">
        <v>16</v>
      </c>
      <c r="I710" t="s">
        <v>2665</v>
      </c>
      <c r="J710" t="s">
        <v>2666</v>
      </c>
      <c r="K710" t="s">
        <v>1809</v>
      </c>
      <c r="L710" t="str">
        <f>HYPERLINK("https://business-monitor.ch/de/companies/593180-stiftung-berufsfachschule-langenthal?utm_source=oberaargau","PROFIL ANSEHEN")</f>
        <v>PROFIL ANSEHEN</v>
      </c>
    </row>
    <row r="711" spans="1:12" x14ac:dyDescent="0.2">
      <c r="A711" t="s">
        <v>8992</v>
      </c>
      <c r="B711" t="s">
        <v>8993</v>
      </c>
      <c r="C711" t="s">
        <v>1812</v>
      </c>
      <c r="E711" t="s">
        <v>8994</v>
      </c>
      <c r="F711">
        <v>3475</v>
      </c>
      <c r="G711" t="s">
        <v>2127</v>
      </c>
      <c r="H711" t="s">
        <v>16</v>
      </c>
      <c r="I711" t="s">
        <v>59</v>
      </c>
      <c r="J711" t="s">
        <v>60</v>
      </c>
      <c r="K711" t="s">
        <v>1809</v>
      </c>
      <c r="L711" t="str">
        <f>HYPERLINK("https://business-monitor.ch/de/companies/242033-gasthof-zum-weissen-roessli-hanspeter-gerber?utm_source=oberaargau","PROFIL ANSEHEN")</f>
        <v>PROFIL ANSEHEN</v>
      </c>
    </row>
    <row r="712" spans="1:12" x14ac:dyDescent="0.2">
      <c r="A712" t="s">
        <v>10148</v>
      </c>
      <c r="B712" t="s">
        <v>12477</v>
      </c>
      <c r="C712" t="s">
        <v>13</v>
      </c>
      <c r="E712" t="s">
        <v>4281</v>
      </c>
      <c r="F712">
        <v>4704</v>
      </c>
      <c r="G712" t="s">
        <v>221</v>
      </c>
      <c r="H712" t="s">
        <v>16</v>
      </c>
      <c r="I712" t="s">
        <v>542</v>
      </c>
      <c r="J712" t="s">
        <v>543</v>
      </c>
      <c r="K712" t="s">
        <v>1809</v>
      </c>
      <c r="L712" t="str">
        <f>HYPERLINK("https://business-monitor.ch/de/companies/653923-anderegg-immo-niederbipp-ag?utm_source=oberaargau","PROFIL ANSEHEN")</f>
        <v>PROFIL ANSEHEN</v>
      </c>
    </row>
    <row r="713" spans="1:12" x14ac:dyDescent="0.2">
      <c r="A713" t="s">
        <v>3299</v>
      </c>
      <c r="B713" t="s">
        <v>3300</v>
      </c>
      <c r="C713" t="s">
        <v>202</v>
      </c>
      <c r="E713" t="s">
        <v>3301</v>
      </c>
      <c r="F713">
        <v>4935</v>
      </c>
      <c r="G713" t="s">
        <v>443</v>
      </c>
      <c r="H713" t="s">
        <v>16</v>
      </c>
      <c r="I713" t="s">
        <v>1278</v>
      </c>
      <c r="J713" t="s">
        <v>1279</v>
      </c>
      <c r="K713" t="s">
        <v>1809</v>
      </c>
      <c r="L713" t="str">
        <f>HYPERLINK("https://business-monitor.ch/de/companies/243138-hallauer-schlosserei-und-metallbau-gmbh?utm_source=oberaargau","PROFIL ANSEHEN")</f>
        <v>PROFIL ANSEHEN</v>
      </c>
    </row>
    <row r="714" spans="1:12" x14ac:dyDescent="0.2">
      <c r="A714" t="s">
        <v>5289</v>
      </c>
      <c r="B714" t="s">
        <v>5290</v>
      </c>
      <c r="C714" t="s">
        <v>13</v>
      </c>
      <c r="D714" t="s">
        <v>5291</v>
      </c>
      <c r="E714" t="s">
        <v>5292</v>
      </c>
      <c r="F714">
        <v>3362</v>
      </c>
      <c r="G714" t="s">
        <v>47</v>
      </c>
      <c r="H714" t="s">
        <v>16</v>
      </c>
      <c r="I714" t="s">
        <v>186</v>
      </c>
      <c r="J714" t="s">
        <v>187</v>
      </c>
      <c r="K714" t="s">
        <v>1809</v>
      </c>
      <c r="L714" t="str">
        <f>HYPERLINK("https://business-monitor.ch/de/companies/1086531-mifu-holding-ag?utm_source=oberaargau","PROFIL ANSEHEN")</f>
        <v>PROFIL ANSEHEN</v>
      </c>
    </row>
    <row r="715" spans="1:12" x14ac:dyDescent="0.2">
      <c r="A715" t="s">
        <v>13573</v>
      </c>
      <c r="B715" t="s">
        <v>13574</v>
      </c>
      <c r="C715" t="s">
        <v>202</v>
      </c>
      <c r="D715" t="s">
        <v>13575</v>
      </c>
      <c r="E715" t="s">
        <v>2066</v>
      </c>
      <c r="F715">
        <v>4900</v>
      </c>
      <c r="G715" t="s">
        <v>41</v>
      </c>
      <c r="H715" t="s">
        <v>16</v>
      </c>
      <c r="I715" t="s">
        <v>182</v>
      </c>
      <c r="J715" t="s">
        <v>183</v>
      </c>
      <c r="K715" t="s">
        <v>1809</v>
      </c>
      <c r="L715" t="str">
        <f>HYPERLINK("https://business-monitor.ch/de/companies/1265787-altun-holding-gmbh?utm_source=oberaargau","PROFIL ANSEHEN")</f>
        <v>PROFIL ANSEHEN</v>
      </c>
    </row>
    <row r="716" spans="1:12" x14ac:dyDescent="0.2">
      <c r="A716" t="s">
        <v>7714</v>
      </c>
      <c r="B716" t="s">
        <v>7715</v>
      </c>
      <c r="C716" t="s">
        <v>202</v>
      </c>
      <c r="E716" t="s">
        <v>6726</v>
      </c>
      <c r="F716">
        <v>4900</v>
      </c>
      <c r="G716" t="s">
        <v>41</v>
      </c>
      <c r="H716" t="s">
        <v>16</v>
      </c>
      <c r="I716" t="s">
        <v>7716</v>
      </c>
      <c r="J716" t="s">
        <v>7717</v>
      </c>
      <c r="K716" t="s">
        <v>1809</v>
      </c>
      <c r="L716" t="str">
        <f>HYPERLINK("https://business-monitor.ch/de/companies/604257-bl-system-produktion-gmbh?utm_source=oberaargau","PROFIL ANSEHEN")</f>
        <v>PROFIL ANSEHEN</v>
      </c>
    </row>
    <row r="717" spans="1:12" x14ac:dyDescent="0.2">
      <c r="A717" t="s">
        <v>2956</v>
      </c>
      <c r="B717" t="s">
        <v>6120</v>
      </c>
      <c r="C717" t="s">
        <v>13</v>
      </c>
      <c r="D717" t="s">
        <v>6119</v>
      </c>
      <c r="E717" t="s">
        <v>280</v>
      </c>
      <c r="F717">
        <v>3360</v>
      </c>
      <c r="G717" t="s">
        <v>35</v>
      </c>
      <c r="H717" t="s">
        <v>16</v>
      </c>
      <c r="I717" t="s">
        <v>186</v>
      </c>
      <c r="J717" t="s">
        <v>187</v>
      </c>
      <c r="K717" t="s">
        <v>1809</v>
      </c>
      <c r="L717" t="str">
        <f>HYPERLINK("https://business-monitor.ch/de/companies/400661-hhb-holding-ag?utm_source=oberaargau","PROFIL ANSEHEN")</f>
        <v>PROFIL ANSEHEN</v>
      </c>
    </row>
    <row r="718" spans="1:12" x14ac:dyDescent="0.2">
      <c r="A718" t="s">
        <v>7367</v>
      </c>
      <c r="B718" t="s">
        <v>7368</v>
      </c>
      <c r="C718" t="s">
        <v>1812</v>
      </c>
      <c r="D718" t="s">
        <v>7369</v>
      </c>
      <c r="E718" t="s">
        <v>7370</v>
      </c>
      <c r="F718">
        <v>4704</v>
      </c>
      <c r="G718" t="s">
        <v>221</v>
      </c>
      <c r="H718" t="s">
        <v>16</v>
      </c>
      <c r="I718" t="s">
        <v>1852</v>
      </c>
      <c r="J718" t="s">
        <v>1853</v>
      </c>
      <c r="K718" t="s">
        <v>1809</v>
      </c>
      <c r="L718" t="str">
        <f>HYPERLINK("https://business-monitor.ch/de/companies/978274-cmp-carlos-monzon-peinture?utm_source=oberaargau","PROFIL ANSEHEN")</f>
        <v>PROFIL ANSEHEN</v>
      </c>
    </row>
    <row r="719" spans="1:12" x14ac:dyDescent="0.2">
      <c r="A719" t="s">
        <v>14139</v>
      </c>
      <c r="B719" t="s">
        <v>14140</v>
      </c>
      <c r="C719" t="s">
        <v>13</v>
      </c>
      <c r="E719" t="s">
        <v>2099</v>
      </c>
      <c r="F719">
        <v>4900</v>
      </c>
      <c r="G719" t="s">
        <v>41</v>
      </c>
      <c r="H719" t="s">
        <v>16</v>
      </c>
      <c r="I719" t="s">
        <v>260</v>
      </c>
      <c r="J719" t="s">
        <v>261</v>
      </c>
      <c r="K719" t="s">
        <v>1809</v>
      </c>
      <c r="L719" t="str">
        <f>HYPERLINK("https://business-monitor.ch/de/companies/1294020-denfri-ag?utm_source=oberaargau","PROFIL ANSEHEN")</f>
        <v>PROFIL ANSEHEN</v>
      </c>
    </row>
    <row r="720" spans="1:12" x14ac:dyDescent="0.2">
      <c r="A720" t="s">
        <v>8057</v>
      </c>
      <c r="B720" t="s">
        <v>8058</v>
      </c>
      <c r="C720" t="s">
        <v>1812</v>
      </c>
      <c r="E720" t="s">
        <v>8059</v>
      </c>
      <c r="F720">
        <v>4952</v>
      </c>
      <c r="G720" t="s">
        <v>474</v>
      </c>
      <c r="H720" t="s">
        <v>16</v>
      </c>
      <c r="I720" t="s">
        <v>6313</v>
      </c>
      <c r="J720" t="s">
        <v>6314</v>
      </c>
      <c r="K720" t="s">
        <v>1809</v>
      </c>
      <c r="L720" t="str">
        <f>HYPERLINK("https://business-monitor.ch/de/companies/186421-r-fornaro-kunstschmiede-und-metallgestaltung?utm_source=oberaargau","PROFIL ANSEHEN")</f>
        <v>PROFIL ANSEHEN</v>
      </c>
    </row>
    <row r="721" spans="1:12" x14ac:dyDescent="0.2">
      <c r="A721" t="s">
        <v>5026</v>
      </c>
      <c r="B721" t="s">
        <v>5027</v>
      </c>
      <c r="C721" t="s">
        <v>202</v>
      </c>
      <c r="E721" t="s">
        <v>5028</v>
      </c>
      <c r="F721">
        <v>4900</v>
      </c>
      <c r="G721" t="s">
        <v>41</v>
      </c>
      <c r="H721" t="s">
        <v>16</v>
      </c>
      <c r="I721" t="s">
        <v>1818</v>
      </c>
      <c r="J721" t="s">
        <v>1819</v>
      </c>
      <c r="K721" t="s">
        <v>1809</v>
      </c>
      <c r="L721" t="str">
        <f>HYPERLINK("https://business-monitor.ch/de/companies/235722-fh-finance-home-gmbh?utm_source=oberaargau","PROFIL ANSEHEN")</f>
        <v>PROFIL ANSEHEN</v>
      </c>
    </row>
    <row r="722" spans="1:12" x14ac:dyDescent="0.2">
      <c r="A722" t="s">
        <v>8692</v>
      </c>
      <c r="B722" t="s">
        <v>8693</v>
      </c>
      <c r="C722" t="s">
        <v>202</v>
      </c>
      <c r="E722" t="s">
        <v>8694</v>
      </c>
      <c r="F722">
        <v>4704</v>
      </c>
      <c r="G722" t="s">
        <v>221</v>
      </c>
      <c r="H722" t="s">
        <v>16</v>
      </c>
      <c r="I722" t="s">
        <v>935</v>
      </c>
      <c r="J722" t="s">
        <v>936</v>
      </c>
      <c r="K722" t="s">
        <v>1809</v>
      </c>
      <c r="L722" t="str">
        <f>HYPERLINK("https://business-monitor.ch/de/companies/409634-amfri-gmbh?utm_source=oberaargau","PROFIL ANSEHEN")</f>
        <v>PROFIL ANSEHEN</v>
      </c>
    </row>
    <row r="723" spans="1:12" x14ac:dyDescent="0.2">
      <c r="A723" t="s">
        <v>7900</v>
      </c>
      <c r="B723" t="s">
        <v>7901</v>
      </c>
      <c r="C723" t="s">
        <v>1812</v>
      </c>
      <c r="E723" t="s">
        <v>7902</v>
      </c>
      <c r="F723">
        <v>4900</v>
      </c>
      <c r="G723" t="s">
        <v>41</v>
      </c>
      <c r="H723" t="s">
        <v>16</v>
      </c>
      <c r="I723" t="s">
        <v>2748</v>
      </c>
      <c r="J723" t="s">
        <v>2749</v>
      </c>
      <c r="K723" t="s">
        <v>1809</v>
      </c>
      <c r="L723" t="str">
        <f>HYPERLINK("https://business-monitor.ch/de/companies/227816-hot-stuff-tattoo-shop-saegesser?utm_source=oberaargau","PROFIL ANSEHEN")</f>
        <v>PROFIL ANSEHEN</v>
      </c>
    </row>
    <row r="724" spans="1:12" x14ac:dyDescent="0.2">
      <c r="A724" t="s">
        <v>13858</v>
      </c>
      <c r="B724" t="s">
        <v>13859</v>
      </c>
      <c r="C724" t="s">
        <v>202</v>
      </c>
      <c r="E724" t="s">
        <v>7194</v>
      </c>
      <c r="F724">
        <v>3360</v>
      </c>
      <c r="G724" t="s">
        <v>35</v>
      </c>
      <c r="H724" t="s">
        <v>16</v>
      </c>
      <c r="I724" t="s">
        <v>748</v>
      </c>
      <c r="J724" t="s">
        <v>749</v>
      </c>
      <c r="K724" t="s">
        <v>1809</v>
      </c>
      <c r="L724" t="str">
        <f>HYPERLINK("https://business-monitor.ch/de/companies/1269851-buchsi-malerei-gmbh?utm_source=oberaargau","PROFIL ANSEHEN")</f>
        <v>PROFIL ANSEHEN</v>
      </c>
    </row>
    <row r="725" spans="1:12" x14ac:dyDescent="0.2">
      <c r="A725" t="s">
        <v>8885</v>
      </c>
      <c r="B725" t="s">
        <v>8886</v>
      </c>
      <c r="C725" t="s">
        <v>13</v>
      </c>
      <c r="E725" t="s">
        <v>8360</v>
      </c>
      <c r="F725">
        <v>4900</v>
      </c>
      <c r="G725" t="s">
        <v>41</v>
      </c>
      <c r="H725" t="s">
        <v>16</v>
      </c>
      <c r="I725" t="s">
        <v>4039</v>
      </c>
      <c r="J725" t="s">
        <v>4040</v>
      </c>
      <c r="K725" t="s">
        <v>1809</v>
      </c>
      <c r="L725" t="str">
        <f>HYPERLINK("https://business-monitor.ch/de/companies/307676-max-fit-well-ag?utm_source=oberaargau","PROFIL ANSEHEN")</f>
        <v>PROFIL ANSEHEN</v>
      </c>
    </row>
    <row r="726" spans="1:12" x14ac:dyDescent="0.2">
      <c r="A726" t="s">
        <v>13208</v>
      </c>
      <c r="B726" t="s">
        <v>13209</v>
      </c>
      <c r="C726" t="s">
        <v>1812</v>
      </c>
      <c r="E726" t="s">
        <v>13210</v>
      </c>
      <c r="F726">
        <v>4955</v>
      </c>
      <c r="G726" t="s">
        <v>684</v>
      </c>
      <c r="H726" t="s">
        <v>16</v>
      </c>
      <c r="I726" t="s">
        <v>2213</v>
      </c>
      <c r="J726" t="s">
        <v>2214</v>
      </c>
      <c r="K726" t="s">
        <v>1809</v>
      </c>
      <c r="L726" t="str">
        <f>HYPERLINK("https://business-monitor.ch/de/companies/1232979-mompower-bei-s-anliker?utm_source=oberaargau","PROFIL ANSEHEN")</f>
        <v>PROFIL ANSEHEN</v>
      </c>
    </row>
    <row r="727" spans="1:12" x14ac:dyDescent="0.2">
      <c r="A727" t="s">
        <v>6645</v>
      </c>
      <c r="B727" t="s">
        <v>6646</v>
      </c>
      <c r="C727" t="s">
        <v>13</v>
      </c>
      <c r="E727" t="s">
        <v>6647</v>
      </c>
      <c r="F727">
        <v>4932</v>
      </c>
      <c r="G727" t="s">
        <v>325</v>
      </c>
      <c r="H727" t="s">
        <v>16</v>
      </c>
      <c r="I727" t="s">
        <v>469</v>
      </c>
      <c r="J727" t="s">
        <v>470</v>
      </c>
      <c r="K727" t="s">
        <v>1809</v>
      </c>
      <c r="L727" t="str">
        <f>HYPERLINK("https://business-monitor.ch/de/companies/180931-awero-ag?utm_source=oberaargau","PROFIL ANSEHEN")</f>
        <v>PROFIL ANSEHEN</v>
      </c>
    </row>
    <row r="728" spans="1:12" x14ac:dyDescent="0.2">
      <c r="A728" t="s">
        <v>9911</v>
      </c>
      <c r="B728" t="s">
        <v>9912</v>
      </c>
      <c r="C728" t="s">
        <v>202</v>
      </c>
      <c r="E728" t="s">
        <v>4933</v>
      </c>
      <c r="F728">
        <v>4536</v>
      </c>
      <c r="G728" t="s">
        <v>1395</v>
      </c>
      <c r="H728" t="s">
        <v>16</v>
      </c>
      <c r="I728" t="s">
        <v>4171</v>
      </c>
      <c r="J728" t="s">
        <v>4172</v>
      </c>
      <c r="K728" t="s">
        <v>1809</v>
      </c>
      <c r="L728" t="str">
        <f>HYPERLINK("https://business-monitor.ch/de/companies/962828-stalder-terratech-gmbh?utm_source=oberaargau","PROFIL ANSEHEN")</f>
        <v>PROFIL ANSEHEN</v>
      </c>
    </row>
    <row r="729" spans="1:12" x14ac:dyDescent="0.2">
      <c r="A729" t="s">
        <v>14220</v>
      </c>
      <c r="B729" t="s">
        <v>14221</v>
      </c>
      <c r="C729" t="s">
        <v>13</v>
      </c>
      <c r="E729" t="s">
        <v>9519</v>
      </c>
      <c r="F729">
        <v>3365</v>
      </c>
      <c r="G729" t="s">
        <v>1008</v>
      </c>
      <c r="H729" t="s">
        <v>16</v>
      </c>
      <c r="I729" t="s">
        <v>624</v>
      </c>
      <c r="J729" t="s">
        <v>625</v>
      </c>
      <c r="K729" t="s">
        <v>1809</v>
      </c>
      <c r="L729" t="str">
        <f>HYPERLINK("https://business-monitor.ch/de/companies/1294149-riesen-holzbau-immo-ag?utm_source=oberaargau","PROFIL ANSEHEN")</f>
        <v>PROFIL ANSEHEN</v>
      </c>
    </row>
    <row r="730" spans="1:12" x14ac:dyDescent="0.2">
      <c r="A730" t="s">
        <v>13162</v>
      </c>
      <c r="B730" t="s">
        <v>13163</v>
      </c>
      <c r="C730" t="s">
        <v>202</v>
      </c>
      <c r="E730" t="s">
        <v>13164</v>
      </c>
      <c r="F730">
        <v>4936</v>
      </c>
      <c r="G730" t="s">
        <v>768</v>
      </c>
      <c r="H730" t="s">
        <v>16</v>
      </c>
      <c r="I730" t="s">
        <v>854</v>
      </c>
      <c r="J730" t="s">
        <v>855</v>
      </c>
      <c r="K730" t="s">
        <v>1809</v>
      </c>
      <c r="L730" t="str">
        <f>HYPERLINK("https://business-monitor.ch/de/companies/1234365-civis-node-gmbh?utm_source=oberaargau","PROFIL ANSEHEN")</f>
        <v>PROFIL ANSEHEN</v>
      </c>
    </row>
    <row r="731" spans="1:12" x14ac:dyDescent="0.2">
      <c r="A731" t="s">
        <v>13255</v>
      </c>
      <c r="B731" t="s">
        <v>13256</v>
      </c>
      <c r="C731" t="s">
        <v>1812</v>
      </c>
      <c r="E731" t="s">
        <v>5217</v>
      </c>
      <c r="F731">
        <v>4938</v>
      </c>
      <c r="G731" t="s">
        <v>618</v>
      </c>
      <c r="H731" t="s">
        <v>16</v>
      </c>
      <c r="I731" t="s">
        <v>2509</v>
      </c>
      <c r="J731" t="s">
        <v>2510</v>
      </c>
      <c r="K731" t="s">
        <v>1809</v>
      </c>
      <c r="L731" t="str">
        <f>HYPERLINK("https://business-monitor.ch/de/companies/1235540-janick-ryser?utm_source=oberaargau","PROFIL ANSEHEN")</f>
        <v>PROFIL ANSEHEN</v>
      </c>
    </row>
    <row r="732" spans="1:12" x14ac:dyDescent="0.2">
      <c r="A732" t="s">
        <v>8401</v>
      </c>
      <c r="B732" t="s">
        <v>8402</v>
      </c>
      <c r="C732" t="s">
        <v>13</v>
      </c>
      <c r="E732" t="s">
        <v>8403</v>
      </c>
      <c r="F732">
        <v>4900</v>
      </c>
      <c r="G732" t="s">
        <v>41</v>
      </c>
      <c r="H732" t="s">
        <v>16</v>
      </c>
      <c r="I732" t="s">
        <v>475</v>
      </c>
      <c r="J732" t="s">
        <v>476</v>
      </c>
      <c r="K732" t="s">
        <v>1809</v>
      </c>
      <c r="L732" t="str">
        <f>HYPERLINK("https://business-monitor.ch/de/companies/10690-gabi-ag?utm_source=oberaargau","PROFIL ANSEHEN")</f>
        <v>PROFIL ANSEHEN</v>
      </c>
    </row>
    <row r="733" spans="1:12" x14ac:dyDescent="0.2">
      <c r="A733" t="s">
        <v>7388</v>
      </c>
      <c r="B733" t="s">
        <v>7389</v>
      </c>
      <c r="C733" t="s">
        <v>1812</v>
      </c>
      <c r="E733" t="s">
        <v>7390</v>
      </c>
      <c r="F733">
        <v>4900</v>
      </c>
      <c r="G733" t="s">
        <v>41</v>
      </c>
      <c r="H733" t="s">
        <v>16</v>
      </c>
      <c r="I733" t="s">
        <v>662</v>
      </c>
      <c r="J733" t="s">
        <v>663</v>
      </c>
      <c r="K733" t="s">
        <v>1809</v>
      </c>
      <c r="L733" t="str">
        <f>HYPERLINK("https://business-monitor.ch/de/companies/967049-jamai-bedachung?utm_source=oberaargau","PROFIL ANSEHEN")</f>
        <v>PROFIL ANSEHEN</v>
      </c>
    </row>
    <row r="734" spans="1:12" x14ac:dyDescent="0.2">
      <c r="A734" t="s">
        <v>7385</v>
      </c>
      <c r="B734" t="s">
        <v>7386</v>
      </c>
      <c r="C734" t="s">
        <v>1812</v>
      </c>
      <c r="E734" t="s">
        <v>7387</v>
      </c>
      <c r="F734">
        <v>4922</v>
      </c>
      <c r="G734" t="s">
        <v>99</v>
      </c>
      <c r="H734" t="s">
        <v>16</v>
      </c>
      <c r="I734" t="s">
        <v>1860</v>
      </c>
      <c r="J734" t="s">
        <v>1861</v>
      </c>
      <c r="K734" t="s">
        <v>1809</v>
      </c>
      <c r="L734" t="str">
        <f>HYPERLINK("https://business-monitor.ch/de/companies/967775-coiffure-fimi-afrim-maksuti?utm_source=oberaargau","PROFIL ANSEHEN")</f>
        <v>PROFIL ANSEHEN</v>
      </c>
    </row>
    <row r="735" spans="1:12" x14ac:dyDescent="0.2">
      <c r="A735" t="s">
        <v>6377</v>
      </c>
      <c r="B735" t="s">
        <v>6385</v>
      </c>
      <c r="C735" t="s">
        <v>1812</v>
      </c>
      <c r="E735" t="s">
        <v>5516</v>
      </c>
      <c r="F735">
        <v>4934</v>
      </c>
      <c r="G735" t="s">
        <v>670</v>
      </c>
      <c r="H735" t="s">
        <v>16</v>
      </c>
      <c r="I735" t="s">
        <v>1193</v>
      </c>
      <c r="J735" t="s">
        <v>1194</v>
      </c>
      <c r="K735" t="s">
        <v>1809</v>
      </c>
      <c r="L735" t="str">
        <f>HYPERLINK("https://business-monitor.ch/de/companies/299557-reinhard-komplettsysteme?utm_source=oberaargau","PROFIL ANSEHEN")</f>
        <v>PROFIL ANSEHEN</v>
      </c>
    </row>
    <row r="736" spans="1:12" x14ac:dyDescent="0.2">
      <c r="A736" t="s">
        <v>12207</v>
      </c>
      <c r="B736" t="s">
        <v>12208</v>
      </c>
      <c r="C736" t="s">
        <v>1812</v>
      </c>
      <c r="E736" t="s">
        <v>2639</v>
      </c>
      <c r="F736">
        <v>4900</v>
      </c>
      <c r="G736" t="s">
        <v>41</v>
      </c>
      <c r="H736" t="s">
        <v>16</v>
      </c>
      <c r="I736" t="s">
        <v>854</v>
      </c>
      <c r="J736" t="s">
        <v>855</v>
      </c>
      <c r="K736" t="s">
        <v>1809</v>
      </c>
      <c r="L736" t="str">
        <f>HYPERLINK("https://business-monitor.ch/de/companies/1178709-webitekt-kevin-graber?utm_source=oberaargau","PROFIL ANSEHEN")</f>
        <v>PROFIL ANSEHEN</v>
      </c>
    </row>
    <row r="737" spans="1:12" x14ac:dyDescent="0.2">
      <c r="A737" t="s">
        <v>1763</v>
      </c>
      <c r="B737" t="s">
        <v>1764</v>
      </c>
      <c r="C737" t="s">
        <v>202</v>
      </c>
      <c r="E737" t="s">
        <v>1765</v>
      </c>
      <c r="F737">
        <v>4900</v>
      </c>
      <c r="G737" t="s">
        <v>41</v>
      </c>
      <c r="H737" t="s">
        <v>16</v>
      </c>
      <c r="I737" t="s">
        <v>1766</v>
      </c>
      <c r="J737" t="s">
        <v>1767</v>
      </c>
      <c r="K737" t="s">
        <v>1809</v>
      </c>
      <c r="L737" t="str">
        <f>HYPERLINK("https://business-monitor.ch/de/companies/502966-kino-scala-gmbh?utm_source=oberaargau","PROFIL ANSEHEN")</f>
        <v>PROFIL ANSEHEN</v>
      </c>
    </row>
    <row r="738" spans="1:12" x14ac:dyDescent="0.2">
      <c r="A738" t="s">
        <v>9091</v>
      </c>
      <c r="B738" t="s">
        <v>9092</v>
      </c>
      <c r="C738" t="s">
        <v>13</v>
      </c>
      <c r="E738" t="s">
        <v>9093</v>
      </c>
      <c r="F738">
        <v>3360</v>
      </c>
      <c r="G738" t="s">
        <v>35</v>
      </c>
      <c r="H738" t="s">
        <v>16</v>
      </c>
      <c r="I738" t="s">
        <v>331</v>
      </c>
      <c r="J738" t="s">
        <v>332</v>
      </c>
      <c r="K738" t="s">
        <v>1809</v>
      </c>
      <c r="L738" t="str">
        <f>HYPERLINK("https://business-monitor.ch/de/companies/173761-hans-arn-ag?utm_source=oberaargau","PROFIL ANSEHEN")</f>
        <v>PROFIL ANSEHEN</v>
      </c>
    </row>
    <row r="739" spans="1:12" x14ac:dyDescent="0.2">
      <c r="A739" t="s">
        <v>9603</v>
      </c>
      <c r="B739" t="s">
        <v>9604</v>
      </c>
      <c r="C739" t="s">
        <v>1827</v>
      </c>
      <c r="E739" t="s">
        <v>9605</v>
      </c>
      <c r="F739">
        <v>4954</v>
      </c>
      <c r="G739" t="s">
        <v>359</v>
      </c>
      <c r="H739" t="s">
        <v>16</v>
      </c>
      <c r="I739" t="s">
        <v>1446</v>
      </c>
      <c r="J739" t="s">
        <v>1447</v>
      </c>
      <c r="K739" t="s">
        <v>1809</v>
      </c>
      <c r="L739" t="str">
        <f>HYPERLINK("https://business-monitor.ch/de/companies/621357-heiniger-co-gebaeudetechnik?utm_source=oberaargau","PROFIL ANSEHEN")</f>
        <v>PROFIL ANSEHEN</v>
      </c>
    </row>
    <row r="740" spans="1:12" x14ac:dyDescent="0.2">
      <c r="A740" t="s">
        <v>2840</v>
      </c>
      <c r="B740" t="s">
        <v>2841</v>
      </c>
      <c r="C740" t="s">
        <v>202</v>
      </c>
      <c r="E740" t="s">
        <v>880</v>
      </c>
      <c r="F740">
        <v>3368</v>
      </c>
      <c r="G740" t="s">
        <v>308</v>
      </c>
      <c r="H740" t="s">
        <v>16</v>
      </c>
      <c r="I740" t="s">
        <v>2842</v>
      </c>
      <c r="J740" t="s">
        <v>2843</v>
      </c>
      <c r="K740" t="s">
        <v>1809</v>
      </c>
      <c r="L740" t="str">
        <f>HYPERLINK("https://business-monitor.ch/de/companies/669113-dynabyte-gmbh?utm_source=oberaargau","PROFIL ANSEHEN")</f>
        <v>PROFIL ANSEHEN</v>
      </c>
    </row>
    <row r="741" spans="1:12" x14ac:dyDescent="0.2">
      <c r="A741" t="s">
        <v>10090</v>
      </c>
      <c r="B741" t="s">
        <v>10091</v>
      </c>
      <c r="C741" t="s">
        <v>1812</v>
      </c>
      <c r="E741" t="s">
        <v>8124</v>
      </c>
      <c r="F741">
        <v>4950</v>
      </c>
      <c r="G741" t="s">
        <v>15</v>
      </c>
      <c r="H741" t="s">
        <v>16</v>
      </c>
      <c r="I741" t="s">
        <v>854</v>
      </c>
      <c r="J741" t="s">
        <v>855</v>
      </c>
      <c r="K741" t="s">
        <v>1809</v>
      </c>
      <c r="L741" t="str">
        <f>HYPERLINK("https://business-monitor.ch/de/companies/678792-computer-enterprise-zurflueh?utm_source=oberaargau","PROFIL ANSEHEN")</f>
        <v>PROFIL ANSEHEN</v>
      </c>
    </row>
    <row r="742" spans="1:12" x14ac:dyDescent="0.2">
      <c r="A742" t="s">
        <v>8219</v>
      </c>
      <c r="B742" t="s">
        <v>8220</v>
      </c>
      <c r="C742" t="s">
        <v>1922</v>
      </c>
      <c r="D742" t="s">
        <v>8221</v>
      </c>
      <c r="E742" t="s">
        <v>2533</v>
      </c>
      <c r="F742">
        <v>4900</v>
      </c>
      <c r="G742" t="s">
        <v>41</v>
      </c>
      <c r="H742" t="s">
        <v>16</v>
      </c>
      <c r="I742" t="s">
        <v>2116</v>
      </c>
      <c r="J742" t="s">
        <v>2117</v>
      </c>
      <c r="K742" t="s">
        <v>1809</v>
      </c>
      <c r="L742" t="str">
        <f>HYPERLINK("https://business-monitor.ch/de/companies/87251-personalvorsorge-aare-seeland-mobil-ag?utm_source=oberaargau","PROFIL ANSEHEN")</f>
        <v>PROFIL ANSEHEN</v>
      </c>
    </row>
    <row r="743" spans="1:12" x14ac:dyDescent="0.2">
      <c r="A743" t="s">
        <v>1144</v>
      </c>
      <c r="B743" t="s">
        <v>1145</v>
      </c>
      <c r="C743" t="s">
        <v>13</v>
      </c>
      <c r="E743" t="s">
        <v>1146</v>
      </c>
      <c r="F743">
        <v>3360</v>
      </c>
      <c r="G743" t="s">
        <v>35</v>
      </c>
      <c r="H743" t="s">
        <v>16</v>
      </c>
      <c r="I743" t="s">
        <v>906</v>
      </c>
      <c r="J743" t="s">
        <v>907</v>
      </c>
      <c r="K743" t="s">
        <v>1809</v>
      </c>
      <c r="L743" t="str">
        <f>HYPERLINK("https://business-monitor.ch/de/companies/10157-kabofina-ag?utm_source=oberaargau","PROFIL ANSEHEN")</f>
        <v>PROFIL ANSEHEN</v>
      </c>
    </row>
    <row r="744" spans="1:12" x14ac:dyDescent="0.2">
      <c r="A744" t="s">
        <v>13714</v>
      </c>
      <c r="B744" t="s">
        <v>13715</v>
      </c>
      <c r="C744" t="s">
        <v>202</v>
      </c>
      <c r="E744" t="s">
        <v>2018</v>
      </c>
      <c r="F744">
        <v>4934</v>
      </c>
      <c r="G744" t="s">
        <v>670</v>
      </c>
      <c r="H744" t="s">
        <v>16</v>
      </c>
      <c r="I744" t="s">
        <v>13716</v>
      </c>
      <c r="J744" t="s">
        <v>13717</v>
      </c>
      <c r="K744" t="s">
        <v>1809</v>
      </c>
      <c r="L744" t="str">
        <f>HYPERLINK("https://business-monitor.ch/de/companies/1263650-array-zero-gmbh?utm_source=oberaargau","PROFIL ANSEHEN")</f>
        <v>PROFIL ANSEHEN</v>
      </c>
    </row>
    <row r="745" spans="1:12" x14ac:dyDescent="0.2">
      <c r="A745" t="s">
        <v>8053</v>
      </c>
      <c r="B745" t="s">
        <v>8054</v>
      </c>
      <c r="C745" t="s">
        <v>13</v>
      </c>
      <c r="E745" t="s">
        <v>7447</v>
      </c>
      <c r="F745">
        <v>3360</v>
      </c>
      <c r="G745" t="s">
        <v>35</v>
      </c>
      <c r="H745" t="s">
        <v>16</v>
      </c>
      <c r="I745" t="s">
        <v>86</v>
      </c>
      <c r="J745" t="s">
        <v>87</v>
      </c>
      <c r="K745" t="s">
        <v>1809</v>
      </c>
      <c r="L745" t="str">
        <f>HYPERLINK("https://business-monitor.ch/de/companies/325837-buchsi-vet-ag?utm_source=oberaargau","PROFIL ANSEHEN")</f>
        <v>PROFIL ANSEHEN</v>
      </c>
    </row>
    <row r="746" spans="1:12" x14ac:dyDescent="0.2">
      <c r="A746" t="s">
        <v>13891</v>
      </c>
      <c r="B746" t="s">
        <v>13892</v>
      </c>
      <c r="C746" t="s">
        <v>1812</v>
      </c>
      <c r="E746" t="s">
        <v>13893</v>
      </c>
      <c r="F746">
        <v>4923</v>
      </c>
      <c r="G746" t="s">
        <v>732</v>
      </c>
      <c r="H746" t="s">
        <v>16</v>
      </c>
      <c r="I746" t="s">
        <v>1062</v>
      </c>
      <c r="J746" t="s">
        <v>1063</v>
      </c>
      <c r="K746" t="s">
        <v>1809</v>
      </c>
      <c r="L746" t="str">
        <f>HYPERLINK("https://business-monitor.ch/de/companies/1272349-gerber-plattenarbeiten?utm_source=oberaargau","PROFIL ANSEHEN")</f>
        <v>PROFIL ANSEHEN</v>
      </c>
    </row>
    <row r="747" spans="1:12" x14ac:dyDescent="0.2">
      <c r="A747" t="s">
        <v>6825</v>
      </c>
      <c r="B747" t="s">
        <v>6826</v>
      </c>
      <c r="C747" t="s">
        <v>13</v>
      </c>
      <c r="E747" t="s">
        <v>6827</v>
      </c>
      <c r="F747">
        <v>4950</v>
      </c>
      <c r="G747" t="s">
        <v>15</v>
      </c>
      <c r="H747" t="s">
        <v>16</v>
      </c>
      <c r="I747" t="s">
        <v>913</v>
      </c>
      <c r="J747" t="s">
        <v>914</v>
      </c>
      <c r="K747" t="s">
        <v>1809</v>
      </c>
      <c r="L747" t="str">
        <f>HYPERLINK("https://business-monitor.ch/de/companies/70149-graedel-immo-ag?utm_source=oberaargau","PROFIL ANSEHEN")</f>
        <v>PROFIL ANSEHEN</v>
      </c>
    </row>
    <row r="748" spans="1:12" x14ac:dyDescent="0.2">
      <c r="A748" t="s">
        <v>13064</v>
      </c>
      <c r="B748" t="s">
        <v>13065</v>
      </c>
      <c r="C748" t="s">
        <v>13</v>
      </c>
      <c r="E748" t="s">
        <v>959</v>
      </c>
      <c r="F748">
        <v>4950</v>
      </c>
      <c r="G748" t="s">
        <v>15</v>
      </c>
      <c r="H748" t="s">
        <v>16</v>
      </c>
      <c r="I748" t="s">
        <v>182</v>
      </c>
      <c r="J748" t="s">
        <v>183</v>
      </c>
      <c r="K748" t="s">
        <v>1809</v>
      </c>
      <c r="L748" t="str">
        <f>HYPERLINK("https://business-monitor.ch/de/companies/1241241-brami-holding-ag?utm_source=oberaargau","PROFIL ANSEHEN")</f>
        <v>PROFIL ANSEHEN</v>
      </c>
    </row>
    <row r="749" spans="1:12" x14ac:dyDescent="0.2">
      <c r="A749" t="s">
        <v>10535</v>
      </c>
      <c r="B749" t="s">
        <v>10536</v>
      </c>
      <c r="C749" t="s">
        <v>1812</v>
      </c>
      <c r="E749" t="s">
        <v>3688</v>
      </c>
      <c r="F749">
        <v>3360</v>
      </c>
      <c r="G749" t="s">
        <v>35</v>
      </c>
      <c r="H749" t="s">
        <v>16</v>
      </c>
      <c r="I749" t="s">
        <v>2932</v>
      </c>
      <c r="J749" t="s">
        <v>2933</v>
      </c>
      <c r="K749" t="s">
        <v>1809</v>
      </c>
      <c r="L749" t="str">
        <f>HYPERLINK("https://business-monitor.ch/de/companies/389932-luethisan-ch-sanitaere-anlagen-thomas-luethi?utm_source=oberaargau","PROFIL ANSEHEN")</f>
        <v>PROFIL ANSEHEN</v>
      </c>
    </row>
    <row r="750" spans="1:12" x14ac:dyDescent="0.2">
      <c r="A750" t="s">
        <v>8553</v>
      </c>
      <c r="B750" t="s">
        <v>992</v>
      </c>
      <c r="C750" t="s">
        <v>2178</v>
      </c>
      <c r="E750" t="s">
        <v>8554</v>
      </c>
      <c r="F750">
        <v>4900</v>
      </c>
      <c r="G750" t="s">
        <v>41</v>
      </c>
      <c r="H750" t="s">
        <v>16</v>
      </c>
      <c r="I750" t="s">
        <v>459</v>
      </c>
      <c r="J750" t="s">
        <v>460</v>
      </c>
      <c r="K750" t="s">
        <v>1809</v>
      </c>
      <c r="L750" t="str">
        <f>HYPERLINK("https://business-monitor.ch/de/companies/489870-max-kneubuehler-geruestbau-ag?utm_source=oberaargau","PROFIL ANSEHEN")</f>
        <v>PROFIL ANSEHEN</v>
      </c>
    </row>
    <row r="751" spans="1:12" x14ac:dyDescent="0.2">
      <c r="A751" t="s">
        <v>9857</v>
      </c>
      <c r="B751" t="s">
        <v>9858</v>
      </c>
      <c r="C751" t="s">
        <v>202</v>
      </c>
      <c r="E751" t="s">
        <v>9859</v>
      </c>
      <c r="F751">
        <v>3360</v>
      </c>
      <c r="G751" t="s">
        <v>35</v>
      </c>
      <c r="H751" t="s">
        <v>16</v>
      </c>
      <c r="I751" t="s">
        <v>824</v>
      </c>
      <c r="J751" t="s">
        <v>825</v>
      </c>
      <c r="K751" t="s">
        <v>1809</v>
      </c>
      <c r="L751" t="str">
        <f>HYPERLINK("https://business-monitor.ch/de/companies/986678-schlossmatt-gastro-gmbh?utm_source=oberaargau","PROFIL ANSEHEN")</f>
        <v>PROFIL ANSEHEN</v>
      </c>
    </row>
    <row r="752" spans="1:12" x14ac:dyDescent="0.2">
      <c r="A752" t="s">
        <v>5896</v>
      </c>
      <c r="B752" t="s">
        <v>5897</v>
      </c>
      <c r="C752" t="s">
        <v>202</v>
      </c>
      <c r="E752" t="s">
        <v>4273</v>
      </c>
      <c r="F752">
        <v>4900</v>
      </c>
      <c r="G752" t="s">
        <v>41</v>
      </c>
      <c r="H752" t="s">
        <v>16</v>
      </c>
      <c r="I752" t="s">
        <v>4247</v>
      </c>
      <c r="J752" t="s">
        <v>4248</v>
      </c>
      <c r="K752" t="s">
        <v>1809</v>
      </c>
      <c r="L752" t="str">
        <f>HYPERLINK("https://business-monitor.ch/de/companies/499428-kinderarztpraxis-dr-med-kathrin-le-gmbh?utm_source=oberaargau","PROFIL ANSEHEN")</f>
        <v>PROFIL ANSEHEN</v>
      </c>
    </row>
    <row r="753" spans="1:12" x14ac:dyDescent="0.2">
      <c r="A753" t="s">
        <v>2787</v>
      </c>
      <c r="B753" t="s">
        <v>2788</v>
      </c>
      <c r="C753" t="s">
        <v>202</v>
      </c>
      <c r="E753" t="s">
        <v>390</v>
      </c>
      <c r="F753">
        <v>4950</v>
      </c>
      <c r="G753" t="s">
        <v>15</v>
      </c>
      <c r="H753" t="s">
        <v>16</v>
      </c>
      <c r="I753" t="s">
        <v>1212</v>
      </c>
      <c r="J753" t="s">
        <v>1213</v>
      </c>
      <c r="K753" t="s">
        <v>1809</v>
      </c>
      <c r="L753" t="str">
        <f>HYPERLINK("https://business-monitor.ch/de/companies/437384-light-production-zaugg-gmbh?utm_source=oberaargau","PROFIL ANSEHEN")</f>
        <v>PROFIL ANSEHEN</v>
      </c>
    </row>
    <row r="754" spans="1:12" x14ac:dyDescent="0.2">
      <c r="A754" t="s">
        <v>4256</v>
      </c>
      <c r="B754" t="s">
        <v>4257</v>
      </c>
      <c r="C754" t="s">
        <v>202</v>
      </c>
      <c r="E754" t="s">
        <v>4258</v>
      </c>
      <c r="F754">
        <v>4900</v>
      </c>
      <c r="G754" t="s">
        <v>41</v>
      </c>
      <c r="H754" t="s">
        <v>16</v>
      </c>
      <c r="I754" t="s">
        <v>642</v>
      </c>
      <c r="J754" t="s">
        <v>643</v>
      </c>
      <c r="K754" t="s">
        <v>1809</v>
      </c>
      <c r="L754" t="str">
        <f>HYPERLINK("https://business-monitor.ch/de/companies/987235-elmiger-american-performance-gmbh?utm_source=oberaargau","PROFIL ANSEHEN")</f>
        <v>PROFIL ANSEHEN</v>
      </c>
    </row>
    <row r="755" spans="1:12" x14ac:dyDescent="0.2">
      <c r="A755" t="s">
        <v>4448</v>
      </c>
      <c r="B755" t="s">
        <v>4449</v>
      </c>
      <c r="C755" t="s">
        <v>13</v>
      </c>
      <c r="E755" t="s">
        <v>263</v>
      </c>
      <c r="F755">
        <v>4900</v>
      </c>
      <c r="G755" t="s">
        <v>41</v>
      </c>
      <c r="H755" t="s">
        <v>16</v>
      </c>
      <c r="I755" t="s">
        <v>72</v>
      </c>
      <c r="J755" t="s">
        <v>73</v>
      </c>
      <c r="K755" t="s">
        <v>1809</v>
      </c>
      <c r="L755" t="str">
        <f>HYPERLINK("https://business-monitor.ch/de/companies/731995-bucher-motorex-beteiligungen-ag?utm_source=oberaargau","PROFIL ANSEHEN")</f>
        <v>PROFIL ANSEHEN</v>
      </c>
    </row>
    <row r="756" spans="1:12" x14ac:dyDescent="0.2">
      <c r="A756" t="s">
        <v>2571</v>
      </c>
      <c r="B756" t="s">
        <v>2572</v>
      </c>
      <c r="C756" t="s">
        <v>13</v>
      </c>
      <c r="D756" t="s">
        <v>2573</v>
      </c>
      <c r="E756" t="s">
        <v>1629</v>
      </c>
      <c r="F756">
        <v>3368</v>
      </c>
      <c r="G756" t="s">
        <v>308</v>
      </c>
      <c r="H756" t="s">
        <v>16</v>
      </c>
      <c r="I756" t="s">
        <v>182</v>
      </c>
      <c r="J756" t="s">
        <v>183</v>
      </c>
      <c r="K756" t="s">
        <v>1809</v>
      </c>
      <c r="L756" t="str">
        <f>HYPERLINK("https://business-monitor.ch/de/companies/508266-hcs-holding-ag?utm_source=oberaargau","PROFIL ANSEHEN")</f>
        <v>PROFIL ANSEHEN</v>
      </c>
    </row>
    <row r="757" spans="1:12" x14ac:dyDescent="0.2">
      <c r="A757" t="s">
        <v>7981</v>
      </c>
      <c r="B757" t="s">
        <v>7982</v>
      </c>
      <c r="C757" t="s">
        <v>1812</v>
      </c>
      <c r="E757" t="s">
        <v>3742</v>
      </c>
      <c r="F757">
        <v>4900</v>
      </c>
      <c r="G757" t="s">
        <v>41</v>
      </c>
      <c r="H757" t="s">
        <v>16</v>
      </c>
      <c r="I757" t="s">
        <v>1860</v>
      </c>
      <c r="J757" t="s">
        <v>1861</v>
      </c>
      <c r="K757" t="s">
        <v>1809</v>
      </c>
      <c r="L757" t="str">
        <f>HYPERLINK("https://business-monitor.ch/de/companies/456074-loft5-coiffure-bergamo?utm_source=oberaargau","PROFIL ANSEHEN")</f>
        <v>PROFIL ANSEHEN</v>
      </c>
    </row>
    <row r="758" spans="1:12" x14ac:dyDescent="0.2">
      <c r="A758" t="s">
        <v>12552</v>
      </c>
      <c r="B758" t="s">
        <v>12553</v>
      </c>
      <c r="C758" t="s">
        <v>202</v>
      </c>
      <c r="E758" t="s">
        <v>12554</v>
      </c>
      <c r="F758">
        <v>4938</v>
      </c>
      <c r="G758" t="s">
        <v>618</v>
      </c>
      <c r="H758" t="s">
        <v>16</v>
      </c>
      <c r="I758" t="s">
        <v>1852</v>
      </c>
      <c r="J758" t="s">
        <v>1853</v>
      </c>
      <c r="K758" t="s">
        <v>1809</v>
      </c>
      <c r="L758" t="str">
        <f>HYPERLINK("https://business-monitor.ch/de/companies/1214438-hilt-gmbh?utm_source=oberaargau","PROFIL ANSEHEN")</f>
        <v>PROFIL ANSEHEN</v>
      </c>
    </row>
    <row r="759" spans="1:12" x14ac:dyDescent="0.2">
      <c r="A759" t="s">
        <v>2137</v>
      </c>
      <c r="B759" t="s">
        <v>2138</v>
      </c>
      <c r="C759" t="s">
        <v>1827</v>
      </c>
      <c r="E759" t="s">
        <v>2139</v>
      </c>
      <c r="F759">
        <v>4950</v>
      </c>
      <c r="G759" t="s">
        <v>15</v>
      </c>
      <c r="H759" t="s">
        <v>16</v>
      </c>
      <c r="I759" t="s">
        <v>824</v>
      </c>
      <c r="J759" t="s">
        <v>825</v>
      </c>
      <c r="K759" t="s">
        <v>1809</v>
      </c>
      <c r="L759" t="str">
        <f>HYPERLINK("https://business-monitor.ch/de/companies/15858-goek-gueltekin-restaurant-roessli?utm_source=oberaargau","PROFIL ANSEHEN")</f>
        <v>PROFIL ANSEHEN</v>
      </c>
    </row>
    <row r="760" spans="1:12" x14ac:dyDescent="0.2">
      <c r="A760" t="s">
        <v>13609</v>
      </c>
      <c r="B760" t="s">
        <v>13610</v>
      </c>
      <c r="C760" t="s">
        <v>202</v>
      </c>
      <c r="E760" t="s">
        <v>13611</v>
      </c>
      <c r="F760">
        <v>3367</v>
      </c>
      <c r="G760" t="s">
        <v>455</v>
      </c>
      <c r="H760" t="s">
        <v>16</v>
      </c>
      <c r="I760" t="s">
        <v>1470</v>
      </c>
      <c r="J760" t="s">
        <v>1471</v>
      </c>
      <c r="K760" t="s">
        <v>1809</v>
      </c>
      <c r="L760" t="str">
        <f>HYPERLINK("https://business-monitor.ch/de/companies/1264845-dg-sanitaer-heizung-gmbh?utm_source=oberaargau","PROFIL ANSEHEN")</f>
        <v>PROFIL ANSEHEN</v>
      </c>
    </row>
    <row r="761" spans="1:12" x14ac:dyDescent="0.2">
      <c r="A761" t="s">
        <v>2134</v>
      </c>
      <c r="B761" t="s">
        <v>2135</v>
      </c>
      <c r="C761" t="s">
        <v>1812</v>
      </c>
      <c r="E761" t="s">
        <v>2136</v>
      </c>
      <c r="F761">
        <v>4912</v>
      </c>
      <c r="G761" t="s">
        <v>64</v>
      </c>
      <c r="H761" t="s">
        <v>16</v>
      </c>
      <c r="I761" t="s">
        <v>596</v>
      </c>
      <c r="J761" t="s">
        <v>597</v>
      </c>
      <c r="K761" t="s">
        <v>1809</v>
      </c>
      <c r="L761" t="str">
        <f>HYPERLINK("https://business-monitor.ch/de/companies/16580-getraenkehandel-rudolf-anderegg?utm_source=oberaargau","PROFIL ANSEHEN")</f>
        <v>PROFIL ANSEHEN</v>
      </c>
    </row>
    <row r="762" spans="1:12" x14ac:dyDescent="0.2">
      <c r="A762" t="s">
        <v>13784</v>
      </c>
      <c r="B762" t="s">
        <v>13785</v>
      </c>
      <c r="C762" t="s">
        <v>13</v>
      </c>
      <c r="E762" t="s">
        <v>1469</v>
      </c>
      <c r="F762">
        <v>3380</v>
      </c>
      <c r="G762" t="s">
        <v>29</v>
      </c>
      <c r="H762" t="s">
        <v>16</v>
      </c>
      <c r="I762" t="s">
        <v>182</v>
      </c>
      <c r="J762" t="s">
        <v>183</v>
      </c>
      <c r="K762" t="s">
        <v>1809</v>
      </c>
      <c r="L762" t="str">
        <f>HYPERLINK("https://business-monitor.ch/de/companies/1265529-np-holding-ag?utm_source=oberaargau","PROFIL ANSEHEN")</f>
        <v>PROFIL ANSEHEN</v>
      </c>
    </row>
    <row r="763" spans="1:12" x14ac:dyDescent="0.2">
      <c r="A763" t="s">
        <v>6915</v>
      </c>
      <c r="B763" t="s">
        <v>6916</v>
      </c>
      <c r="C763" t="s">
        <v>1827</v>
      </c>
      <c r="E763" t="s">
        <v>6917</v>
      </c>
      <c r="F763">
        <v>3380</v>
      </c>
      <c r="G763" t="s">
        <v>29</v>
      </c>
      <c r="H763" t="s">
        <v>16</v>
      </c>
      <c r="I763" t="s">
        <v>574</v>
      </c>
      <c r="J763" t="s">
        <v>575</v>
      </c>
      <c r="K763" t="s">
        <v>1809</v>
      </c>
      <c r="L763" t="str">
        <f>HYPERLINK("https://business-monitor.ch/de/companies/17417-aaratec-schneeberger-hostettler-co?utm_source=oberaargau","PROFIL ANSEHEN")</f>
        <v>PROFIL ANSEHEN</v>
      </c>
    </row>
    <row r="764" spans="1:12" x14ac:dyDescent="0.2">
      <c r="A764" t="s">
        <v>14218</v>
      </c>
      <c r="B764" t="s">
        <v>14219</v>
      </c>
      <c r="C764" t="s">
        <v>13</v>
      </c>
      <c r="E764" t="s">
        <v>9385</v>
      </c>
      <c r="F764">
        <v>3365</v>
      </c>
      <c r="G764" t="s">
        <v>2390</v>
      </c>
      <c r="H764" t="s">
        <v>16</v>
      </c>
      <c r="I764" t="s">
        <v>186</v>
      </c>
      <c r="J764" t="s">
        <v>187</v>
      </c>
      <c r="K764" t="s">
        <v>1809</v>
      </c>
      <c r="L764" t="str">
        <f>HYPERLINK("https://business-monitor.ch/de/companies/1289190-mm-meister-holding-ag?utm_source=oberaargau","PROFIL ANSEHEN")</f>
        <v>PROFIL ANSEHEN</v>
      </c>
    </row>
    <row r="765" spans="1:12" x14ac:dyDescent="0.2">
      <c r="A765" t="s">
        <v>8395</v>
      </c>
      <c r="B765" t="s">
        <v>8396</v>
      </c>
      <c r="C765" t="s">
        <v>1812</v>
      </c>
      <c r="E765" t="s">
        <v>8397</v>
      </c>
      <c r="F765">
        <v>4912</v>
      </c>
      <c r="G765" t="s">
        <v>64</v>
      </c>
      <c r="H765" t="s">
        <v>16</v>
      </c>
      <c r="I765" t="s">
        <v>1576</v>
      </c>
      <c r="J765" t="s">
        <v>1577</v>
      </c>
      <c r="K765" t="s">
        <v>1809</v>
      </c>
      <c r="L765" t="str">
        <f>HYPERLINK("https://business-monitor.ch/de/companies/17446-leni-michel?utm_source=oberaargau","PROFIL ANSEHEN")</f>
        <v>PROFIL ANSEHEN</v>
      </c>
    </row>
    <row r="766" spans="1:12" x14ac:dyDescent="0.2">
      <c r="A766" t="s">
        <v>13788</v>
      </c>
      <c r="B766" t="s">
        <v>13789</v>
      </c>
      <c r="C766" t="s">
        <v>1827</v>
      </c>
      <c r="E766" t="s">
        <v>2099</v>
      </c>
      <c r="F766">
        <v>4900</v>
      </c>
      <c r="G766" t="s">
        <v>41</v>
      </c>
      <c r="H766" t="s">
        <v>16</v>
      </c>
      <c r="I766" t="s">
        <v>260</v>
      </c>
      <c r="J766" t="s">
        <v>261</v>
      </c>
      <c r="K766" t="s">
        <v>1809</v>
      </c>
      <c r="L766" t="str">
        <f>HYPERLINK("https://business-monitor.ch/de/companies/1262339-stettler-roch-architekten-klg?utm_source=oberaargau","PROFIL ANSEHEN")</f>
        <v>PROFIL ANSEHEN</v>
      </c>
    </row>
    <row r="767" spans="1:12" x14ac:dyDescent="0.2">
      <c r="A767" t="s">
        <v>7332</v>
      </c>
      <c r="B767" t="s">
        <v>7333</v>
      </c>
      <c r="C767" t="s">
        <v>202</v>
      </c>
      <c r="E767" t="s">
        <v>7334</v>
      </c>
      <c r="F767">
        <v>4536</v>
      </c>
      <c r="G767" t="s">
        <v>1395</v>
      </c>
      <c r="H767" t="s">
        <v>16</v>
      </c>
      <c r="I767" t="s">
        <v>781</v>
      </c>
      <c r="J767" t="s">
        <v>782</v>
      </c>
      <c r="K767" t="s">
        <v>1809</v>
      </c>
      <c r="L767" t="str">
        <f>HYPERLINK("https://business-monitor.ch/de/companies/990762-hohl-technik-gmbh?utm_source=oberaargau","PROFIL ANSEHEN")</f>
        <v>PROFIL ANSEHEN</v>
      </c>
    </row>
    <row r="768" spans="1:12" x14ac:dyDescent="0.2">
      <c r="A768" t="s">
        <v>6153</v>
      </c>
      <c r="B768" t="s">
        <v>6154</v>
      </c>
      <c r="C768" t="s">
        <v>202</v>
      </c>
      <c r="E768" t="s">
        <v>6155</v>
      </c>
      <c r="F768">
        <v>4900</v>
      </c>
      <c r="G768" t="s">
        <v>41</v>
      </c>
      <c r="H768" t="s">
        <v>16</v>
      </c>
      <c r="I768" t="s">
        <v>59</v>
      </c>
      <c r="J768" t="s">
        <v>60</v>
      </c>
      <c r="K768" t="s">
        <v>1809</v>
      </c>
      <c r="L768" t="str">
        <f>HYPERLINK("https://business-monitor.ch/de/companies/394277-kma-gmbh?utm_source=oberaargau","PROFIL ANSEHEN")</f>
        <v>PROFIL ANSEHEN</v>
      </c>
    </row>
    <row r="769" spans="1:12" x14ac:dyDescent="0.2">
      <c r="A769" t="s">
        <v>12850</v>
      </c>
      <c r="B769" t="s">
        <v>12851</v>
      </c>
      <c r="C769" t="s">
        <v>13</v>
      </c>
      <c r="E769" t="s">
        <v>1058</v>
      </c>
      <c r="F769">
        <v>3360</v>
      </c>
      <c r="G769" t="s">
        <v>35</v>
      </c>
      <c r="H769" t="s">
        <v>16</v>
      </c>
      <c r="I769" t="s">
        <v>182</v>
      </c>
      <c r="J769" t="s">
        <v>183</v>
      </c>
      <c r="K769" t="s">
        <v>1809</v>
      </c>
      <c r="L769" t="str">
        <f>HYPERLINK("https://business-monitor.ch/de/companies/1219059-m-frey-holding-ag?utm_source=oberaargau","PROFIL ANSEHEN")</f>
        <v>PROFIL ANSEHEN</v>
      </c>
    </row>
    <row r="770" spans="1:12" x14ac:dyDescent="0.2">
      <c r="A770" t="s">
        <v>6218</v>
      </c>
      <c r="B770" t="s">
        <v>6219</v>
      </c>
      <c r="C770" t="s">
        <v>202</v>
      </c>
      <c r="E770" t="s">
        <v>6220</v>
      </c>
      <c r="F770">
        <v>4913</v>
      </c>
      <c r="G770" t="s">
        <v>207</v>
      </c>
      <c r="H770" t="s">
        <v>16</v>
      </c>
      <c r="I770" t="s">
        <v>24</v>
      </c>
      <c r="J770" t="s">
        <v>25</v>
      </c>
      <c r="K770" t="s">
        <v>1809</v>
      </c>
      <c r="L770" t="str">
        <f>HYPERLINK("https://business-monitor.ch/de/companies/365839-lecon-gmbh?utm_source=oberaargau","PROFIL ANSEHEN")</f>
        <v>PROFIL ANSEHEN</v>
      </c>
    </row>
    <row r="771" spans="1:12" x14ac:dyDescent="0.2">
      <c r="A771" t="s">
        <v>9828</v>
      </c>
      <c r="B771" t="s">
        <v>9829</v>
      </c>
      <c r="C771" t="s">
        <v>13</v>
      </c>
      <c r="E771" t="s">
        <v>9830</v>
      </c>
      <c r="F771">
        <v>4900</v>
      </c>
      <c r="G771" t="s">
        <v>41</v>
      </c>
      <c r="H771" t="s">
        <v>16</v>
      </c>
      <c r="I771" t="s">
        <v>1053</v>
      </c>
      <c r="J771" t="s">
        <v>1054</v>
      </c>
      <c r="K771" t="s">
        <v>1809</v>
      </c>
      <c r="L771" t="str">
        <f>HYPERLINK("https://business-monitor.ch/de/companies/993206-lero-ag?utm_source=oberaargau","PROFIL ANSEHEN")</f>
        <v>PROFIL ANSEHEN</v>
      </c>
    </row>
    <row r="772" spans="1:12" x14ac:dyDescent="0.2">
      <c r="A772" t="s">
        <v>9086</v>
      </c>
      <c r="B772" t="s">
        <v>9087</v>
      </c>
      <c r="C772" t="s">
        <v>13</v>
      </c>
      <c r="E772" t="s">
        <v>3102</v>
      </c>
      <c r="F772">
        <v>3367</v>
      </c>
      <c r="G772" t="s">
        <v>455</v>
      </c>
      <c r="H772" t="s">
        <v>16</v>
      </c>
      <c r="I772" t="s">
        <v>167</v>
      </c>
      <c r="J772" t="s">
        <v>168</v>
      </c>
      <c r="K772" t="s">
        <v>1809</v>
      </c>
      <c r="L772" t="str">
        <f>HYPERLINK("https://business-monitor.ch/de/companies/173772-gruetter-bau-ag?utm_source=oberaargau","PROFIL ANSEHEN")</f>
        <v>PROFIL ANSEHEN</v>
      </c>
    </row>
    <row r="773" spans="1:12" x14ac:dyDescent="0.2">
      <c r="A773" t="s">
        <v>10072</v>
      </c>
      <c r="B773" t="s">
        <v>10073</v>
      </c>
      <c r="C773" t="s">
        <v>202</v>
      </c>
      <c r="E773" t="s">
        <v>5552</v>
      </c>
      <c r="F773">
        <v>4704</v>
      </c>
      <c r="G773" t="s">
        <v>221</v>
      </c>
      <c r="H773" t="s">
        <v>16</v>
      </c>
      <c r="I773" t="s">
        <v>6274</v>
      </c>
      <c r="J773" t="s">
        <v>6275</v>
      </c>
      <c r="K773" t="s">
        <v>1809</v>
      </c>
      <c r="L773" t="str">
        <f>HYPERLINK("https://business-monitor.ch/de/companies/689985-ew-security-gmbh?utm_source=oberaargau","PROFIL ANSEHEN")</f>
        <v>PROFIL ANSEHEN</v>
      </c>
    </row>
    <row r="774" spans="1:12" x14ac:dyDescent="0.2">
      <c r="A774" t="s">
        <v>7054</v>
      </c>
      <c r="B774" t="s">
        <v>7055</v>
      </c>
      <c r="C774" t="s">
        <v>1812</v>
      </c>
      <c r="E774" t="s">
        <v>7056</v>
      </c>
      <c r="F774">
        <v>4911</v>
      </c>
      <c r="G774" t="s">
        <v>1005</v>
      </c>
      <c r="H774" t="s">
        <v>16</v>
      </c>
      <c r="I774" t="s">
        <v>542</v>
      </c>
      <c r="J774" t="s">
        <v>543</v>
      </c>
      <c r="K774" t="s">
        <v>1809</v>
      </c>
      <c r="L774" t="str">
        <f>HYPERLINK("https://business-monitor.ch/de/companies/557970-bautom-ch-kissling?utm_source=oberaargau","PROFIL ANSEHEN")</f>
        <v>PROFIL ANSEHEN</v>
      </c>
    </row>
    <row r="775" spans="1:12" x14ac:dyDescent="0.2">
      <c r="A775" t="s">
        <v>9611</v>
      </c>
      <c r="B775" t="s">
        <v>9612</v>
      </c>
      <c r="C775" t="s">
        <v>1812</v>
      </c>
      <c r="E775" t="s">
        <v>9613</v>
      </c>
      <c r="F775">
        <v>4912</v>
      </c>
      <c r="G775" t="s">
        <v>64</v>
      </c>
      <c r="H775" t="s">
        <v>16</v>
      </c>
      <c r="I775" t="s">
        <v>800</v>
      </c>
      <c r="J775" t="s">
        <v>801</v>
      </c>
      <c r="K775" t="s">
        <v>1809</v>
      </c>
      <c r="L775" t="str">
        <f>HYPERLINK("https://business-monitor.ch/de/companies/580480-klein-motorgeraete-spichiger?utm_source=oberaargau","PROFIL ANSEHEN")</f>
        <v>PROFIL ANSEHEN</v>
      </c>
    </row>
    <row r="776" spans="1:12" x14ac:dyDescent="0.2">
      <c r="A776" t="s">
        <v>13312</v>
      </c>
      <c r="B776" t="s">
        <v>13313</v>
      </c>
      <c r="C776" t="s">
        <v>202</v>
      </c>
      <c r="E776" t="s">
        <v>2862</v>
      </c>
      <c r="F776">
        <v>4900</v>
      </c>
      <c r="G776" t="s">
        <v>41</v>
      </c>
      <c r="H776" t="s">
        <v>16</v>
      </c>
      <c r="I776" t="s">
        <v>167</v>
      </c>
      <c r="J776" t="s">
        <v>168</v>
      </c>
      <c r="K776" t="s">
        <v>1809</v>
      </c>
      <c r="L776" t="str">
        <f>HYPERLINK("https://business-monitor.ch/de/companies/1248577-swiss-gu-group-gmbh?utm_source=oberaargau","PROFIL ANSEHEN")</f>
        <v>PROFIL ANSEHEN</v>
      </c>
    </row>
    <row r="777" spans="1:12" x14ac:dyDescent="0.2">
      <c r="A777" t="s">
        <v>9244</v>
      </c>
      <c r="B777" t="s">
        <v>9245</v>
      </c>
      <c r="C777" t="s">
        <v>13</v>
      </c>
      <c r="E777" t="s">
        <v>1064</v>
      </c>
      <c r="F777">
        <v>4900</v>
      </c>
      <c r="G777" t="s">
        <v>41</v>
      </c>
      <c r="H777" t="s">
        <v>16</v>
      </c>
      <c r="I777" t="s">
        <v>260</v>
      </c>
      <c r="J777" t="s">
        <v>261</v>
      </c>
      <c r="K777" t="s">
        <v>1809</v>
      </c>
      <c r="L777" t="str">
        <f>HYPERLINK("https://business-monitor.ch/de/companies/121198-architekturbuero-ledermann-ag-langenthal?utm_source=oberaargau","PROFIL ANSEHEN")</f>
        <v>PROFIL ANSEHEN</v>
      </c>
    </row>
    <row r="778" spans="1:12" x14ac:dyDescent="0.2">
      <c r="A778" t="s">
        <v>9496</v>
      </c>
      <c r="B778" t="s">
        <v>9497</v>
      </c>
      <c r="C778" t="s">
        <v>1812</v>
      </c>
      <c r="E778" t="s">
        <v>9498</v>
      </c>
      <c r="F778">
        <v>3363</v>
      </c>
      <c r="G778" t="s">
        <v>1367</v>
      </c>
      <c r="H778" t="s">
        <v>16</v>
      </c>
      <c r="I778" t="s">
        <v>157</v>
      </c>
      <c r="J778" t="s">
        <v>158</v>
      </c>
      <c r="K778" t="s">
        <v>1809</v>
      </c>
      <c r="L778" t="str">
        <f>HYPERLINK("https://business-monitor.ch/de/companies/648633-giacometti-immobilientreuhand?utm_source=oberaargau","PROFIL ANSEHEN")</f>
        <v>PROFIL ANSEHEN</v>
      </c>
    </row>
    <row r="779" spans="1:12" x14ac:dyDescent="0.2">
      <c r="A779" t="s">
        <v>6932</v>
      </c>
      <c r="B779" t="s">
        <v>6933</v>
      </c>
      <c r="C779" t="s">
        <v>202</v>
      </c>
      <c r="E779" t="s">
        <v>6934</v>
      </c>
      <c r="F779">
        <v>4924</v>
      </c>
      <c r="G779" t="s">
        <v>3727</v>
      </c>
      <c r="H779" t="s">
        <v>16</v>
      </c>
      <c r="I779" t="s">
        <v>134</v>
      </c>
      <c r="J779" t="s">
        <v>135</v>
      </c>
      <c r="K779" t="s">
        <v>1809</v>
      </c>
      <c r="L779" t="str">
        <f>HYPERLINK("https://business-monitor.ch/de/companies/297059-bolliger-elektrotechnik-gmbh?utm_source=oberaargau","PROFIL ANSEHEN")</f>
        <v>PROFIL ANSEHEN</v>
      </c>
    </row>
    <row r="780" spans="1:12" x14ac:dyDescent="0.2">
      <c r="A780" t="s">
        <v>7057</v>
      </c>
      <c r="B780" t="s">
        <v>7058</v>
      </c>
      <c r="C780" t="s">
        <v>2178</v>
      </c>
      <c r="E780" t="s">
        <v>14385</v>
      </c>
      <c r="F780">
        <v>4912</v>
      </c>
      <c r="G780" t="s">
        <v>64</v>
      </c>
      <c r="H780" t="s">
        <v>16</v>
      </c>
      <c r="I780" t="s">
        <v>134</v>
      </c>
      <c r="J780" t="s">
        <v>135</v>
      </c>
      <c r="K780" t="s">
        <v>1809</v>
      </c>
      <c r="L780" t="str">
        <f>HYPERLINK("https://business-monitor.ch/de/companies/1002068-kaeser-ag-elektro-telekommunikation?utm_source=oberaargau","PROFIL ANSEHEN")</f>
        <v>PROFIL ANSEHEN</v>
      </c>
    </row>
    <row r="781" spans="1:12" x14ac:dyDescent="0.2">
      <c r="A781" t="s">
        <v>14386</v>
      </c>
      <c r="B781" t="s">
        <v>14387</v>
      </c>
      <c r="C781" t="s">
        <v>202</v>
      </c>
      <c r="E781" t="s">
        <v>3471</v>
      </c>
      <c r="F781">
        <v>4900</v>
      </c>
      <c r="G781" t="s">
        <v>41</v>
      </c>
      <c r="H781" t="s">
        <v>16</v>
      </c>
      <c r="I781" t="s">
        <v>182</v>
      </c>
      <c r="J781" t="s">
        <v>183</v>
      </c>
      <c r="K781" t="s">
        <v>1809</v>
      </c>
      <c r="L781" t="str">
        <f>HYPERLINK("https://business-monitor.ch/de/companies/1296579-gmb-holding-gmbh?utm_source=oberaargau","PROFIL ANSEHEN")</f>
        <v>PROFIL ANSEHEN</v>
      </c>
    </row>
    <row r="782" spans="1:12" x14ac:dyDescent="0.2">
      <c r="A782" t="s">
        <v>14388</v>
      </c>
      <c r="B782" t="s">
        <v>14389</v>
      </c>
      <c r="C782" t="s">
        <v>13</v>
      </c>
      <c r="E782" t="s">
        <v>14390</v>
      </c>
      <c r="F782">
        <v>4704</v>
      </c>
      <c r="G782" t="s">
        <v>221</v>
      </c>
      <c r="H782" t="s">
        <v>16</v>
      </c>
      <c r="I782" t="s">
        <v>935</v>
      </c>
      <c r="J782" t="s">
        <v>936</v>
      </c>
      <c r="K782" t="s">
        <v>1809</v>
      </c>
      <c r="L782" t="str">
        <f>HYPERLINK("https://business-monitor.ch/de/companies/1306936-aurivia-ag?utm_source=oberaargau","PROFIL ANSEHEN")</f>
        <v>PROFIL ANSEHEN</v>
      </c>
    </row>
    <row r="783" spans="1:12" x14ac:dyDescent="0.2">
      <c r="A783" t="s">
        <v>13719</v>
      </c>
      <c r="B783" t="s">
        <v>13720</v>
      </c>
      <c r="C783" t="s">
        <v>1812</v>
      </c>
      <c r="E783" t="s">
        <v>13721</v>
      </c>
      <c r="F783">
        <v>4900</v>
      </c>
      <c r="G783" t="s">
        <v>41</v>
      </c>
      <c r="H783" t="s">
        <v>16</v>
      </c>
      <c r="I783" t="s">
        <v>2849</v>
      </c>
      <c r="J783" t="s">
        <v>2850</v>
      </c>
      <c r="K783" t="s">
        <v>1809</v>
      </c>
      <c r="L783" t="str">
        <f>HYPERLINK("https://business-monitor.ch/de/companies/1256667-familienbegleitung-neurodivergaent-alina-ferraro?utm_source=oberaargau","PROFIL ANSEHEN")</f>
        <v>PROFIL ANSEHEN</v>
      </c>
    </row>
    <row r="784" spans="1:12" x14ac:dyDescent="0.2">
      <c r="A784" t="s">
        <v>8813</v>
      </c>
      <c r="B784" t="s">
        <v>8814</v>
      </c>
      <c r="C784" t="s">
        <v>1812</v>
      </c>
      <c r="E784" t="s">
        <v>584</v>
      </c>
      <c r="F784">
        <v>3380</v>
      </c>
      <c r="G784" t="s">
        <v>29</v>
      </c>
      <c r="H784" t="s">
        <v>16</v>
      </c>
      <c r="I784" t="s">
        <v>940</v>
      </c>
      <c r="J784" t="s">
        <v>941</v>
      </c>
      <c r="K784" t="s">
        <v>1809</v>
      </c>
      <c r="L784" t="str">
        <f>HYPERLINK("https://business-monitor.ch/de/companies/1061936-kellertreff-inh-doris-schmied?utm_source=oberaargau","PROFIL ANSEHEN")</f>
        <v>PROFIL ANSEHEN</v>
      </c>
    </row>
    <row r="785" spans="1:12" x14ac:dyDescent="0.2">
      <c r="A785" t="s">
        <v>10662</v>
      </c>
      <c r="B785" t="s">
        <v>10663</v>
      </c>
      <c r="C785" t="s">
        <v>1812</v>
      </c>
      <c r="E785" t="s">
        <v>14391</v>
      </c>
      <c r="F785">
        <v>4922</v>
      </c>
      <c r="G785" t="s">
        <v>99</v>
      </c>
      <c r="H785" t="s">
        <v>16</v>
      </c>
      <c r="I785" t="s">
        <v>5250</v>
      </c>
      <c r="J785" t="s">
        <v>5251</v>
      </c>
      <c r="K785" t="s">
        <v>1809</v>
      </c>
      <c r="L785" t="str">
        <f>HYPERLINK("https://business-monitor.ch/de/companies/1071368-leb-glas-ch-inh-beluli?utm_source=oberaargau","PROFIL ANSEHEN")</f>
        <v>PROFIL ANSEHEN</v>
      </c>
    </row>
    <row r="786" spans="1:12" x14ac:dyDescent="0.2">
      <c r="A786" t="s">
        <v>5322</v>
      </c>
      <c r="B786" t="s">
        <v>5323</v>
      </c>
      <c r="C786" t="s">
        <v>202</v>
      </c>
      <c r="E786" t="s">
        <v>5324</v>
      </c>
      <c r="F786">
        <v>4938</v>
      </c>
      <c r="G786" t="s">
        <v>618</v>
      </c>
      <c r="H786" t="s">
        <v>16</v>
      </c>
      <c r="I786" t="s">
        <v>3510</v>
      </c>
      <c r="J786" t="s">
        <v>3511</v>
      </c>
      <c r="K786" t="s">
        <v>1809</v>
      </c>
      <c r="L786" t="str">
        <f>HYPERLINK("https://business-monitor.ch/de/companies/302067-agox-gmbh?utm_source=oberaargau","PROFIL ANSEHEN")</f>
        <v>PROFIL ANSEHEN</v>
      </c>
    </row>
    <row r="787" spans="1:12" x14ac:dyDescent="0.2">
      <c r="A787" t="s">
        <v>13175</v>
      </c>
      <c r="B787" t="s">
        <v>13176</v>
      </c>
      <c r="C787" t="s">
        <v>13</v>
      </c>
      <c r="E787" t="s">
        <v>7040</v>
      </c>
      <c r="F787">
        <v>4922</v>
      </c>
      <c r="G787" t="s">
        <v>99</v>
      </c>
      <c r="H787" t="s">
        <v>16</v>
      </c>
      <c r="I787" t="s">
        <v>438</v>
      </c>
      <c r="J787" t="s">
        <v>439</v>
      </c>
      <c r="K787" t="s">
        <v>1809</v>
      </c>
      <c r="L787" t="str">
        <f>HYPERLINK("https://business-monitor.ch/de/companies/1228795-aare-gebaeudehuelle-ag?utm_source=oberaargau","PROFIL ANSEHEN")</f>
        <v>PROFIL ANSEHEN</v>
      </c>
    </row>
    <row r="788" spans="1:12" x14ac:dyDescent="0.2">
      <c r="A788" t="s">
        <v>5540</v>
      </c>
      <c r="B788" t="s">
        <v>5541</v>
      </c>
      <c r="C788" t="s">
        <v>1812</v>
      </c>
      <c r="E788" t="s">
        <v>5542</v>
      </c>
      <c r="F788">
        <v>4537</v>
      </c>
      <c r="G788" t="s">
        <v>113</v>
      </c>
      <c r="H788" t="s">
        <v>16</v>
      </c>
      <c r="I788" t="s">
        <v>5543</v>
      </c>
      <c r="J788" t="s">
        <v>5544</v>
      </c>
      <c r="K788" t="s">
        <v>1809</v>
      </c>
      <c r="L788" t="str">
        <f>HYPERLINK("https://business-monitor.ch/de/companies/21155-guitar-s-amp-zubehoer-horst-allemann?utm_source=oberaargau","PROFIL ANSEHEN")</f>
        <v>PROFIL ANSEHEN</v>
      </c>
    </row>
    <row r="789" spans="1:12" x14ac:dyDescent="0.2">
      <c r="A789" t="s">
        <v>5354</v>
      </c>
      <c r="B789" t="s">
        <v>5355</v>
      </c>
      <c r="C789" t="s">
        <v>202</v>
      </c>
      <c r="E789" t="s">
        <v>11483</v>
      </c>
      <c r="F789">
        <v>4950</v>
      </c>
      <c r="G789" t="s">
        <v>15</v>
      </c>
      <c r="H789" t="s">
        <v>16</v>
      </c>
      <c r="I789" t="s">
        <v>603</v>
      </c>
      <c r="J789" t="s">
        <v>604</v>
      </c>
      <c r="K789" t="s">
        <v>1809</v>
      </c>
      <c r="L789" t="str">
        <f>HYPERLINK("https://business-monitor.ch/de/companies/289089-balance-boardshop-gmbh?utm_source=oberaargau","PROFIL ANSEHEN")</f>
        <v>PROFIL ANSEHEN</v>
      </c>
    </row>
    <row r="790" spans="1:12" x14ac:dyDescent="0.2">
      <c r="A790" t="s">
        <v>9793</v>
      </c>
      <c r="B790" t="s">
        <v>9794</v>
      </c>
      <c r="C790" t="s">
        <v>13</v>
      </c>
      <c r="E790" t="s">
        <v>2059</v>
      </c>
      <c r="F790">
        <v>3365</v>
      </c>
      <c r="G790" t="s">
        <v>2390</v>
      </c>
      <c r="H790" t="s">
        <v>16</v>
      </c>
      <c r="I790" t="s">
        <v>2522</v>
      </c>
      <c r="J790" t="s">
        <v>2523</v>
      </c>
      <c r="K790" t="s">
        <v>1809</v>
      </c>
      <c r="L790" t="str">
        <f>HYPERLINK("https://business-monitor.ch/de/companies/1018612-seeberg-garage-ag?utm_source=oberaargau","PROFIL ANSEHEN")</f>
        <v>PROFIL ANSEHEN</v>
      </c>
    </row>
    <row r="791" spans="1:12" x14ac:dyDescent="0.2">
      <c r="A791" t="s">
        <v>13722</v>
      </c>
      <c r="B791" t="s">
        <v>13723</v>
      </c>
      <c r="C791" t="s">
        <v>1812</v>
      </c>
      <c r="E791" t="s">
        <v>13724</v>
      </c>
      <c r="F791">
        <v>4922</v>
      </c>
      <c r="G791" t="s">
        <v>1318</v>
      </c>
      <c r="H791" t="s">
        <v>16</v>
      </c>
      <c r="I791" t="s">
        <v>232</v>
      </c>
      <c r="J791" t="s">
        <v>233</v>
      </c>
      <c r="K791" t="s">
        <v>1809</v>
      </c>
      <c r="L791" t="str">
        <f>HYPERLINK("https://business-monitor.ch/de/companies/1261789-fso-consulting-florian-sommer?utm_source=oberaargau","PROFIL ANSEHEN")</f>
        <v>PROFIL ANSEHEN</v>
      </c>
    </row>
    <row r="792" spans="1:12" x14ac:dyDescent="0.2">
      <c r="A792" t="s">
        <v>6597</v>
      </c>
      <c r="B792" t="s">
        <v>6598</v>
      </c>
      <c r="C792" t="s">
        <v>13</v>
      </c>
      <c r="E792" t="s">
        <v>4412</v>
      </c>
      <c r="F792">
        <v>4900</v>
      </c>
      <c r="G792" t="s">
        <v>41</v>
      </c>
      <c r="H792" t="s">
        <v>16</v>
      </c>
      <c r="I792" t="s">
        <v>232</v>
      </c>
      <c r="J792" t="s">
        <v>233</v>
      </c>
      <c r="K792" t="s">
        <v>1809</v>
      </c>
      <c r="L792" t="str">
        <f>HYPERLINK("https://business-monitor.ch/de/companies/206651-ris-partner-treuhand-langenthal-ag?utm_source=oberaargau","PROFIL ANSEHEN")</f>
        <v>PROFIL ANSEHEN</v>
      </c>
    </row>
    <row r="793" spans="1:12" x14ac:dyDescent="0.2">
      <c r="A793" t="s">
        <v>8235</v>
      </c>
      <c r="B793" t="s">
        <v>8236</v>
      </c>
      <c r="C793" t="s">
        <v>1812</v>
      </c>
      <c r="E793" t="s">
        <v>5123</v>
      </c>
      <c r="F793">
        <v>4922</v>
      </c>
      <c r="G793" t="s">
        <v>1318</v>
      </c>
      <c r="H793" t="s">
        <v>16</v>
      </c>
      <c r="I793" t="s">
        <v>642</v>
      </c>
      <c r="J793" t="s">
        <v>643</v>
      </c>
      <c r="K793" t="s">
        <v>1809</v>
      </c>
      <c r="L793" t="str">
        <f>HYPERLINK("https://business-monitor.ch/de/companies/31367-broennimann-s-antique-auto-parts?utm_source=oberaargau","PROFIL ANSEHEN")</f>
        <v>PROFIL ANSEHEN</v>
      </c>
    </row>
    <row r="794" spans="1:12" x14ac:dyDescent="0.2">
      <c r="A794" t="s">
        <v>9724</v>
      </c>
      <c r="B794" t="s">
        <v>9725</v>
      </c>
      <c r="C794" t="s">
        <v>1812</v>
      </c>
      <c r="E794" t="s">
        <v>1067</v>
      </c>
      <c r="F794">
        <v>3360</v>
      </c>
      <c r="G794" t="s">
        <v>35</v>
      </c>
      <c r="H794" t="s">
        <v>16</v>
      </c>
      <c r="I794" t="s">
        <v>7448</v>
      </c>
      <c r="J794" t="s">
        <v>7449</v>
      </c>
      <c r="K794" t="s">
        <v>1809</v>
      </c>
      <c r="L794" t="str">
        <f>HYPERLINK("https://business-monitor.ch/de/companies/1043985-kulgat-consulting?utm_source=oberaargau","PROFIL ANSEHEN")</f>
        <v>PROFIL ANSEHEN</v>
      </c>
    </row>
    <row r="795" spans="1:12" x14ac:dyDescent="0.2">
      <c r="A795" t="s">
        <v>3951</v>
      </c>
      <c r="B795" t="s">
        <v>3952</v>
      </c>
      <c r="C795" t="s">
        <v>13</v>
      </c>
      <c r="E795" t="s">
        <v>3190</v>
      </c>
      <c r="F795">
        <v>4900</v>
      </c>
      <c r="G795" t="s">
        <v>41</v>
      </c>
      <c r="H795" t="s">
        <v>16</v>
      </c>
      <c r="I795" t="s">
        <v>157</v>
      </c>
      <c r="J795" t="s">
        <v>158</v>
      </c>
      <c r="K795" t="s">
        <v>1809</v>
      </c>
      <c r="L795" t="str">
        <f>HYPERLINK("https://business-monitor.ch/de/companies/1054601-hbtm-generation-ag?utm_source=oberaargau","PROFIL ANSEHEN")</f>
        <v>PROFIL ANSEHEN</v>
      </c>
    </row>
    <row r="796" spans="1:12" x14ac:dyDescent="0.2">
      <c r="A796" t="s">
        <v>11821</v>
      </c>
      <c r="B796" t="s">
        <v>11822</v>
      </c>
      <c r="C796" t="s">
        <v>202</v>
      </c>
      <c r="D796" t="s">
        <v>11823</v>
      </c>
      <c r="E796" t="s">
        <v>1058</v>
      </c>
      <c r="F796">
        <v>3360</v>
      </c>
      <c r="G796" t="s">
        <v>35</v>
      </c>
      <c r="H796" t="s">
        <v>16</v>
      </c>
      <c r="I796" t="s">
        <v>854</v>
      </c>
      <c r="J796" t="s">
        <v>855</v>
      </c>
      <c r="K796" t="s">
        <v>1809</v>
      </c>
      <c r="L796" t="str">
        <f>HYPERLINK("https://business-monitor.ch/de/companies/329127-swiss-bridge-consulting-gmbh?utm_source=oberaargau","PROFIL ANSEHEN")</f>
        <v>PROFIL ANSEHEN</v>
      </c>
    </row>
    <row r="797" spans="1:12" x14ac:dyDescent="0.2">
      <c r="A797" t="s">
        <v>14222</v>
      </c>
      <c r="B797" t="s">
        <v>14223</v>
      </c>
      <c r="C797" t="s">
        <v>202</v>
      </c>
      <c r="E797" t="s">
        <v>10951</v>
      </c>
      <c r="F797">
        <v>4900</v>
      </c>
      <c r="G797" t="s">
        <v>41</v>
      </c>
      <c r="H797" t="s">
        <v>16</v>
      </c>
      <c r="I797" t="s">
        <v>2440</v>
      </c>
      <c r="J797" t="s">
        <v>2441</v>
      </c>
      <c r="K797" t="s">
        <v>1809</v>
      </c>
      <c r="L797" t="str">
        <f>HYPERLINK("https://business-monitor.ch/de/companies/1290759-lanthal-parkett-gmbh?utm_source=oberaargau","PROFIL ANSEHEN")</f>
        <v>PROFIL ANSEHEN</v>
      </c>
    </row>
    <row r="798" spans="1:12" x14ac:dyDescent="0.2">
      <c r="A798" t="s">
        <v>14392</v>
      </c>
      <c r="B798" t="s">
        <v>14393</v>
      </c>
      <c r="C798" t="s">
        <v>1812</v>
      </c>
      <c r="E798" t="s">
        <v>14394</v>
      </c>
      <c r="F798">
        <v>4922</v>
      </c>
      <c r="G798" t="s">
        <v>99</v>
      </c>
      <c r="H798" t="s">
        <v>16</v>
      </c>
      <c r="I798" t="s">
        <v>4205</v>
      </c>
      <c r="J798" t="s">
        <v>4206</v>
      </c>
      <c r="K798" t="s">
        <v>1809</v>
      </c>
      <c r="L798" t="str">
        <f>HYPERLINK("https://business-monitor.ch/de/companies/1301132-spezial-kiosk-bartos?utm_source=oberaargau","PROFIL ANSEHEN")</f>
        <v>PROFIL ANSEHEN</v>
      </c>
    </row>
    <row r="799" spans="1:12" x14ac:dyDescent="0.2">
      <c r="A799" t="s">
        <v>12128</v>
      </c>
      <c r="B799" t="s">
        <v>13543</v>
      </c>
      <c r="C799" t="s">
        <v>2178</v>
      </c>
      <c r="E799" t="s">
        <v>1375</v>
      </c>
      <c r="F799">
        <v>4704</v>
      </c>
      <c r="G799" t="s">
        <v>221</v>
      </c>
      <c r="H799" t="s">
        <v>16</v>
      </c>
      <c r="I799" t="s">
        <v>222</v>
      </c>
      <c r="J799" t="s">
        <v>223</v>
      </c>
      <c r="K799" t="s">
        <v>1809</v>
      </c>
      <c r="L799" t="str">
        <f>HYPERLINK("https://business-monitor.ch/de/companies/498348-avosano-ag?utm_source=oberaargau","PROFIL ANSEHEN")</f>
        <v>PROFIL ANSEHEN</v>
      </c>
    </row>
    <row r="800" spans="1:12" x14ac:dyDescent="0.2">
      <c r="A800" t="s">
        <v>2513</v>
      </c>
      <c r="B800" t="s">
        <v>2514</v>
      </c>
      <c r="C800" t="s">
        <v>13</v>
      </c>
      <c r="D800" t="s">
        <v>2515</v>
      </c>
      <c r="E800" t="s">
        <v>2516</v>
      </c>
      <c r="F800">
        <v>4900</v>
      </c>
      <c r="G800" t="s">
        <v>41</v>
      </c>
      <c r="H800" t="s">
        <v>16</v>
      </c>
      <c r="I800" t="s">
        <v>2517</v>
      </c>
      <c r="J800" t="s">
        <v>2518</v>
      </c>
      <c r="K800" t="s">
        <v>1809</v>
      </c>
      <c r="L800" t="str">
        <f>HYPERLINK("https://business-monitor.ch/de/companies/56766-kocher-ag?utm_source=oberaargau","PROFIL ANSEHEN")</f>
        <v>PROFIL ANSEHEN</v>
      </c>
    </row>
    <row r="801" spans="1:12" x14ac:dyDescent="0.2">
      <c r="A801" t="s">
        <v>2113</v>
      </c>
      <c r="B801" t="s">
        <v>2114</v>
      </c>
      <c r="C801" t="s">
        <v>1922</v>
      </c>
      <c r="D801" t="s">
        <v>2115</v>
      </c>
      <c r="E801" t="s">
        <v>179</v>
      </c>
      <c r="F801">
        <v>4900</v>
      </c>
      <c r="G801" t="s">
        <v>41</v>
      </c>
      <c r="H801" t="s">
        <v>16</v>
      </c>
      <c r="I801" t="s">
        <v>2116</v>
      </c>
      <c r="J801" t="s">
        <v>2117</v>
      </c>
      <c r="K801" t="s">
        <v>1809</v>
      </c>
      <c r="L801" t="str">
        <f>HYPERLINK("https://business-monitor.ch/de/companies/51312-arthur-und-emma-ammann-stiftung?utm_source=oberaargau","PROFIL ANSEHEN")</f>
        <v>PROFIL ANSEHEN</v>
      </c>
    </row>
    <row r="802" spans="1:12" x14ac:dyDescent="0.2">
      <c r="A802" t="s">
        <v>6857</v>
      </c>
      <c r="B802" t="s">
        <v>6858</v>
      </c>
      <c r="C802" t="s">
        <v>13</v>
      </c>
      <c r="E802" t="s">
        <v>14395</v>
      </c>
      <c r="F802">
        <v>4922</v>
      </c>
      <c r="G802" t="s">
        <v>99</v>
      </c>
      <c r="H802" t="s">
        <v>16</v>
      </c>
      <c r="I802" t="s">
        <v>514</v>
      </c>
      <c r="J802" t="s">
        <v>515</v>
      </c>
      <c r="K802" t="s">
        <v>1809</v>
      </c>
      <c r="L802" t="str">
        <f>HYPERLINK("https://business-monitor.ch/de/companies/54778-hotop-nutrition-sa?utm_source=oberaargau","PROFIL ANSEHEN")</f>
        <v>PROFIL ANSEHEN</v>
      </c>
    </row>
    <row r="803" spans="1:12" x14ac:dyDescent="0.2">
      <c r="A803" t="s">
        <v>2920</v>
      </c>
      <c r="B803" t="s">
        <v>12000</v>
      </c>
      <c r="C803" t="s">
        <v>13</v>
      </c>
      <c r="E803" t="s">
        <v>11775</v>
      </c>
      <c r="F803">
        <v>4922</v>
      </c>
      <c r="G803" t="s">
        <v>1318</v>
      </c>
      <c r="H803" t="s">
        <v>16</v>
      </c>
      <c r="I803" t="s">
        <v>2921</v>
      </c>
      <c r="J803" t="s">
        <v>2922</v>
      </c>
      <c r="K803" t="s">
        <v>1809</v>
      </c>
      <c r="L803" t="str">
        <f>HYPERLINK("https://business-monitor.ch/de/companies/584446-schweizer-versicherungs-service-ag?utm_source=oberaargau","PROFIL ANSEHEN")</f>
        <v>PROFIL ANSEHEN</v>
      </c>
    </row>
    <row r="804" spans="1:12" x14ac:dyDescent="0.2">
      <c r="A804" t="s">
        <v>8228</v>
      </c>
      <c r="B804" t="s">
        <v>8229</v>
      </c>
      <c r="C804" t="s">
        <v>1812</v>
      </c>
      <c r="E804" t="s">
        <v>8230</v>
      </c>
      <c r="F804">
        <v>3368</v>
      </c>
      <c r="G804" t="s">
        <v>308</v>
      </c>
      <c r="H804" t="s">
        <v>16</v>
      </c>
      <c r="I804" t="s">
        <v>298</v>
      </c>
      <c r="J804" t="s">
        <v>299</v>
      </c>
      <c r="K804" t="s">
        <v>1809</v>
      </c>
      <c r="L804" t="str">
        <f>HYPERLINK("https://business-monitor.ch/de/companies/57040-peter-stauffer?utm_source=oberaargau","PROFIL ANSEHEN")</f>
        <v>PROFIL ANSEHEN</v>
      </c>
    </row>
    <row r="805" spans="1:12" x14ac:dyDescent="0.2">
      <c r="A805" t="s">
        <v>11602</v>
      </c>
      <c r="B805" t="s">
        <v>11603</v>
      </c>
      <c r="C805" t="s">
        <v>2258</v>
      </c>
      <c r="E805" t="s">
        <v>11604</v>
      </c>
      <c r="F805">
        <v>4938</v>
      </c>
      <c r="G805" t="s">
        <v>1909</v>
      </c>
      <c r="H805" t="s">
        <v>16</v>
      </c>
      <c r="I805" t="s">
        <v>2849</v>
      </c>
      <c r="J805" t="s">
        <v>2850</v>
      </c>
      <c r="K805" t="s">
        <v>1809</v>
      </c>
      <c r="L805" t="str">
        <f>HYPERLINK("https://business-monitor.ch/de/companies/1140865-verein-oase?utm_source=oberaargau","PROFIL ANSEHEN")</f>
        <v>PROFIL ANSEHEN</v>
      </c>
    </row>
    <row r="806" spans="1:12" x14ac:dyDescent="0.2">
      <c r="A806" t="s">
        <v>11888</v>
      </c>
      <c r="B806" t="s">
        <v>11889</v>
      </c>
      <c r="C806" t="s">
        <v>1812</v>
      </c>
      <c r="E806" t="s">
        <v>11890</v>
      </c>
      <c r="F806">
        <v>4539</v>
      </c>
      <c r="G806" t="s">
        <v>1134</v>
      </c>
      <c r="H806" t="s">
        <v>16</v>
      </c>
      <c r="I806" t="s">
        <v>1852</v>
      </c>
      <c r="J806" t="s">
        <v>1853</v>
      </c>
      <c r="K806" t="s">
        <v>1809</v>
      </c>
      <c r="L806" t="str">
        <f>HYPERLINK("https://business-monitor.ch/de/companies/1164651-bolli-daniel-ihr-joker?utm_source=oberaargau","PROFIL ANSEHEN")</f>
        <v>PROFIL ANSEHEN</v>
      </c>
    </row>
    <row r="807" spans="1:12" x14ac:dyDescent="0.2">
      <c r="A807" t="s">
        <v>3007</v>
      </c>
      <c r="B807" t="s">
        <v>3008</v>
      </c>
      <c r="C807" t="s">
        <v>13</v>
      </c>
      <c r="E807" t="s">
        <v>446</v>
      </c>
      <c r="F807">
        <v>4914</v>
      </c>
      <c r="G807" t="s">
        <v>105</v>
      </c>
      <c r="H807" t="s">
        <v>16</v>
      </c>
      <c r="I807" t="s">
        <v>2555</v>
      </c>
      <c r="J807" t="s">
        <v>2556</v>
      </c>
      <c r="K807" t="s">
        <v>1809</v>
      </c>
      <c r="L807" t="str">
        <f>HYPERLINK("https://business-monitor.ch/de/companies/97508-marcel-hasler-electronics-ag?utm_source=oberaargau","PROFIL ANSEHEN")</f>
        <v>PROFIL ANSEHEN</v>
      </c>
    </row>
    <row r="808" spans="1:12" x14ac:dyDescent="0.2">
      <c r="A808" t="s">
        <v>8030</v>
      </c>
      <c r="B808" t="s">
        <v>8031</v>
      </c>
      <c r="C808" t="s">
        <v>202</v>
      </c>
      <c r="E808" t="s">
        <v>8032</v>
      </c>
      <c r="F808">
        <v>3365</v>
      </c>
      <c r="G808" t="s">
        <v>1008</v>
      </c>
      <c r="H808" t="s">
        <v>16</v>
      </c>
      <c r="I808" t="s">
        <v>624</v>
      </c>
      <c r="J808" t="s">
        <v>625</v>
      </c>
      <c r="K808" t="s">
        <v>1809</v>
      </c>
      <c r="L808" t="str">
        <f>HYPERLINK("https://business-monitor.ch/de/companies/349405-gruetter-block-und-holzbau-gmbh?utm_source=oberaargau","PROFIL ANSEHEN")</f>
        <v>PROFIL ANSEHEN</v>
      </c>
    </row>
    <row r="809" spans="1:12" x14ac:dyDescent="0.2">
      <c r="A809" t="s">
        <v>8784</v>
      </c>
      <c r="B809" t="s">
        <v>8785</v>
      </c>
      <c r="C809" t="s">
        <v>13</v>
      </c>
      <c r="D809" t="s">
        <v>8786</v>
      </c>
      <c r="E809" t="s">
        <v>7632</v>
      </c>
      <c r="F809">
        <v>4934</v>
      </c>
      <c r="G809" t="s">
        <v>670</v>
      </c>
      <c r="H809" t="s">
        <v>16</v>
      </c>
      <c r="I809" t="s">
        <v>935</v>
      </c>
      <c r="J809" t="s">
        <v>936</v>
      </c>
      <c r="K809" t="s">
        <v>1809</v>
      </c>
      <c r="L809" t="str">
        <f>HYPERLINK("https://business-monitor.ch/de/companies/356852-immo-luethi-ag?utm_source=oberaargau","PROFIL ANSEHEN")</f>
        <v>PROFIL ANSEHEN</v>
      </c>
    </row>
    <row r="810" spans="1:12" x14ac:dyDescent="0.2">
      <c r="A810" t="s">
        <v>13728</v>
      </c>
      <c r="B810" t="s">
        <v>13729</v>
      </c>
      <c r="C810" t="s">
        <v>202</v>
      </c>
      <c r="E810" t="s">
        <v>13730</v>
      </c>
      <c r="F810">
        <v>3360</v>
      </c>
      <c r="G810" t="s">
        <v>35</v>
      </c>
      <c r="H810" t="s">
        <v>16</v>
      </c>
      <c r="I810" t="s">
        <v>237</v>
      </c>
      <c r="J810" t="s">
        <v>238</v>
      </c>
      <c r="K810" t="s">
        <v>1809</v>
      </c>
      <c r="L810" t="str">
        <f>HYPERLINK("https://business-monitor.ch/de/companies/488736-la-giulia-gmbh?utm_source=oberaargau","PROFIL ANSEHEN")</f>
        <v>PROFIL ANSEHEN</v>
      </c>
    </row>
    <row r="811" spans="1:12" x14ac:dyDescent="0.2">
      <c r="A811" t="s">
        <v>8735</v>
      </c>
      <c r="B811" t="s">
        <v>8736</v>
      </c>
      <c r="C811" t="s">
        <v>202</v>
      </c>
      <c r="D811" t="s">
        <v>2583</v>
      </c>
      <c r="E811" t="s">
        <v>1084</v>
      </c>
      <c r="F811">
        <v>4900</v>
      </c>
      <c r="G811" t="s">
        <v>41</v>
      </c>
      <c r="H811" t="s">
        <v>16</v>
      </c>
      <c r="I811" t="s">
        <v>935</v>
      </c>
      <c r="J811" t="s">
        <v>936</v>
      </c>
      <c r="K811" t="s">
        <v>1809</v>
      </c>
      <c r="L811" t="str">
        <f>HYPERLINK("https://business-monitor.ch/de/companies/293292-immobilien-development-consulting-gmbh?utm_source=oberaargau","PROFIL ANSEHEN")</f>
        <v>PROFIL ANSEHEN</v>
      </c>
    </row>
    <row r="812" spans="1:12" x14ac:dyDescent="0.2">
      <c r="A812" t="s">
        <v>4263</v>
      </c>
      <c r="B812" t="s">
        <v>4264</v>
      </c>
      <c r="C812" t="s">
        <v>202</v>
      </c>
      <c r="E812" t="s">
        <v>4265</v>
      </c>
      <c r="F812">
        <v>4704</v>
      </c>
      <c r="G812" t="s">
        <v>221</v>
      </c>
      <c r="H812" t="s">
        <v>16</v>
      </c>
      <c r="I812" t="s">
        <v>1865</v>
      </c>
      <c r="J812" t="s">
        <v>1866</v>
      </c>
      <c r="K812" t="s">
        <v>1809</v>
      </c>
      <c r="L812" t="str">
        <f>HYPERLINK("https://business-monitor.ch/de/companies/986299-condor-34-gmbh?utm_source=oberaargau","PROFIL ANSEHEN")</f>
        <v>PROFIL ANSEHEN</v>
      </c>
    </row>
    <row r="813" spans="1:12" x14ac:dyDescent="0.2">
      <c r="A813" t="s">
        <v>13165</v>
      </c>
      <c r="B813" t="s">
        <v>13166</v>
      </c>
      <c r="C813" t="s">
        <v>202</v>
      </c>
      <c r="E813" t="s">
        <v>13167</v>
      </c>
      <c r="F813">
        <v>3375</v>
      </c>
      <c r="G813" t="s">
        <v>667</v>
      </c>
      <c r="H813" t="s">
        <v>16</v>
      </c>
      <c r="I813" t="s">
        <v>507</v>
      </c>
      <c r="J813" t="s">
        <v>508</v>
      </c>
      <c r="K813" t="s">
        <v>1809</v>
      </c>
      <c r="L813" t="str">
        <f>HYPERLINK("https://business-monitor.ch/de/companies/1234442-fleischhandwerk-yannick-clenin-gmbh?utm_source=oberaargau","PROFIL ANSEHEN")</f>
        <v>PROFIL ANSEHEN</v>
      </c>
    </row>
    <row r="814" spans="1:12" x14ac:dyDescent="0.2">
      <c r="A814" t="s">
        <v>2236</v>
      </c>
      <c r="B814" t="s">
        <v>2237</v>
      </c>
      <c r="C814" t="s">
        <v>1812</v>
      </c>
      <c r="E814" t="s">
        <v>2238</v>
      </c>
      <c r="F814">
        <v>4932</v>
      </c>
      <c r="G814" t="s">
        <v>325</v>
      </c>
      <c r="H814" t="s">
        <v>16</v>
      </c>
      <c r="I814" t="s">
        <v>1860</v>
      </c>
      <c r="J814" t="s">
        <v>1861</v>
      </c>
      <c r="K814" t="s">
        <v>1809</v>
      </c>
      <c r="L814" t="str">
        <f>HYPERLINK("https://business-monitor.ch/de/companies/435732-haarmonie-coiffure-und-med-kosmetik-christine-graber?utm_source=oberaargau","PROFIL ANSEHEN")</f>
        <v>PROFIL ANSEHEN</v>
      </c>
    </row>
    <row r="815" spans="1:12" x14ac:dyDescent="0.2">
      <c r="A815" t="s">
        <v>4699</v>
      </c>
      <c r="B815" t="s">
        <v>4700</v>
      </c>
      <c r="C815" t="s">
        <v>1812</v>
      </c>
      <c r="E815" t="s">
        <v>4701</v>
      </c>
      <c r="F815">
        <v>4953</v>
      </c>
      <c r="G815" t="s">
        <v>416</v>
      </c>
      <c r="H815" t="s">
        <v>16</v>
      </c>
      <c r="I815" t="s">
        <v>733</v>
      </c>
      <c r="J815" t="s">
        <v>734</v>
      </c>
      <c r="K815" t="s">
        <v>1809</v>
      </c>
      <c r="L815" t="str">
        <f>HYPERLINK("https://business-monitor.ch/de/companies/602028-hia-hirschi-autohandel?utm_source=oberaargau","PROFIL ANSEHEN")</f>
        <v>PROFIL ANSEHEN</v>
      </c>
    </row>
    <row r="816" spans="1:12" x14ac:dyDescent="0.2">
      <c r="A816" t="s">
        <v>1938</v>
      </c>
      <c r="B816" t="s">
        <v>1939</v>
      </c>
      <c r="C816" t="s">
        <v>1812</v>
      </c>
      <c r="E816" t="s">
        <v>1940</v>
      </c>
      <c r="F816">
        <v>3375</v>
      </c>
      <c r="G816" t="s">
        <v>667</v>
      </c>
      <c r="H816" t="s">
        <v>16</v>
      </c>
      <c r="I816" t="s">
        <v>232</v>
      </c>
      <c r="J816" t="s">
        <v>233</v>
      </c>
      <c r="K816" t="s">
        <v>1809</v>
      </c>
      <c r="L816" t="str">
        <f>HYPERLINK("https://business-monitor.ch/de/companies/256224-habegger-treuhand?utm_source=oberaargau","PROFIL ANSEHEN")</f>
        <v>PROFIL ANSEHEN</v>
      </c>
    </row>
    <row r="817" spans="1:12" x14ac:dyDescent="0.2">
      <c r="A817" t="s">
        <v>4210</v>
      </c>
      <c r="B817" t="s">
        <v>4211</v>
      </c>
      <c r="C817" t="s">
        <v>13</v>
      </c>
      <c r="E817" t="s">
        <v>4212</v>
      </c>
      <c r="F817">
        <v>4900</v>
      </c>
      <c r="G817" t="s">
        <v>41</v>
      </c>
      <c r="H817" t="s">
        <v>16</v>
      </c>
      <c r="I817" t="s">
        <v>271</v>
      </c>
      <c r="J817" t="s">
        <v>272</v>
      </c>
      <c r="K817" t="s">
        <v>1809</v>
      </c>
      <c r="L817" t="str">
        <f>HYPERLINK("https://business-monitor.ch/de/companies/999082-greiner-diagnostic-ag?utm_source=oberaargau","PROFIL ANSEHEN")</f>
        <v>PROFIL ANSEHEN</v>
      </c>
    </row>
    <row r="818" spans="1:12" x14ac:dyDescent="0.2">
      <c r="A818" t="s">
        <v>5568</v>
      </c>
      <c r="B818" t="s">
        <v>5569</v>
      </c>
      <c r="C818" t="s">
        <v>84</v>
      </c>
      <c r="D818" t="s">
        <v>5570</v>
      </c>
      <c r="E818" t="s">
        <v>491</v>
      </c>
      <c r="F818">
        <v>4901</v>
      </c>
      <c r="G818" t="s">
        <v>41</v>
      </c>
      <c r="H818" t="s">
        <v>16</v>
      </c>
      <c r="I818" t="s">
        <v>906</v>
      </c>
      <c r="J818" t="s">
        <v>907</v>
      </c>
      <c r="K818" t="s">
        <v>1809</v>
      </c>
      <c r="L818" t="str">
        <f>HYPERLINK("https://business-monitor.ch/de/companies/105678-baugenossenschaft-freiland-langenthal?utm_source=oberaargau","PROFIL ANSEHEN")</f>
        <v>PROFIL ANSEHEN</v>
      </c>
    </row>
    <row r="819" spans="1:12" x14ac:dyDescent="0.2">
      <c r="A819" t="s">
        <v>6248</v>
      </c>
      <c r="B819" t="s">
        <v>8677</v>
      </c>
      <c r="C819" t="s">
        <v>202</v>
      </c>
      <c r="E819" t="s">
        <v>11739</v>
      </c>
      <c r="F819">
        <v>4912</v>
      </c>
      <c r="G819" t="s">
        <v>64</v>
      </c>
      <c r="H819" t="s">
        <v>16</v>
      </c>
      <c r="I819" t="s">
        <v>157</v>
      </c>
      <c r="J819" t="s">
        <v>158</v>
      </c>
      <c r="K819" t="s">
        <v>1809</v>
      </c>
      <c r="L819" t="str">
        <f>HYPERLINK("https://business-monitor.ch/de/companies/417617-carle-aarwangen-gmbh?utm_source=oberaargau","PROFIL ANSEHEN")</f>
        <v>PROFIL ANSEHEN</v>
      </c>
    </row>
    <row r="820" spans="1:12" x14ac:dyDescent="0.2">
      <c r="A820" t="s">
        <v>13117</v>
      </c>
      <c r="B820" t="s">
        <v>13118</v>
      </c>
      <c r="C820" t="s">
        <v>202</v>
      </c>
      <c r="E820" t="s">
        <v>4159</v>
      </c>
      <c r="F820">
        <v>3360</v>
      </c>
      <c r="G820" t="s">
        <v>35</v>
      </c>
      <c r="H820" t="s">
        <v>16</v>
      </c>
      <c r="I820" t="s">
        <v>913</v>
      </c>
      <c r="J820" t="s">
        <v>914</v>
      </c>
      <c r="K820" t="s">
        <v>1809</v>
      </c>
      <c r="L820" t="str">
        <f>HYPERLINK("https://business-monitor.ch/de/companies/1236421-is-tek-gmbh?utm_source=oberaargau","PROFIL ANSEHEN")</f>
        <v>PROFIL ANSEHEN</v>
      </c>
    </row>
    <row r="821" spans="1:12" x14ac:dyDescent="0.2">
      <c r="A821" t="s">
        <v>11981</v>
      </c>
      <c r="B821" t="s">
        <v>11982</v>
      </c>
      <c r="C821" t="s">
        <v>202</v>
      </c>
      <c r="E821" t="s">
        <v>11983</v>
      </c>
      <c r="F821">
        <v>4704</v>
      </c>
      <c r="G821" t="s">
        <v>221</v>
      </c>
      <c r="H821" t="s">
        <v>16</v>
      </c>
      <c r="I821" t="s">
        <v>1835</v>
      </c>
      <c r="J821" t="s">
        <v>1836</v>
      </c>
      <c r="K821" t="s">
        <v>1809</v>
      </c>
      <c r="L821" t="str">
        <f>HYPERLINK("https://business-monitor.ch/de/companies/1169059-goldenreinigung-gmbh?utm_source=oberaargau","PROFIL ANSEHEN")</f>
        <v>PROFIL ANSEHEN</v>
      </c>
    </row>
    <row r="822" spans="1:12" x14ac:dyDescent="0.2">
      <c r="A822" t="s">
        <v>3486</v>
      </c>
      <c r="B822" t="s">
        <v>3487</v>
      </c>
      <c r="C822" t="s">
        <v>13</v>
      </c>
      <c r="E822" t="s">
        <v>3488</v>
      </c>
      <c r="F822">
        <v>4919</v>
      </c>
      <c r="G822" t="s">
        <v>3489</v>
      </c>
      <c r="H822" t="s">
        <v>16</v>
      </c>
      <c r="I822" t="s">
        <v>464</v>
      </c>
      <c r="J822" t="s">
        <v>465</v>
      </c>
      <c r="K822" t="s">
        <v>1809</v>
      </c>
      <c r="L822" t="str">
        <f>HYPERLINK("https://business-monitor.ch/de/companies/170720-meyer-co-ag-reisiswil?utm_source=oberaargau","PROFIL ANSEHEN")</f>
        <v>PROFIL ANSEHEN</v>
      </c>
    </row>
    <row r="823" spans="1:12" x14ac:dyDescent="0.2">
      <c r="A823" t="s">
        <v>7263</v>
      </c>
      <c r="B823" t="s">
        <v>7264</v>
      </c>
      <c r="C823" t="s">
        <v>1812</v>
      </c>
      <c r="E823" t="s">
        <v>7265</v>
      </c>
      <c r="F823">
        <v>4704</v>
      </c>
      <c r="G823" t="s">
        <v>221</v>
      </c>
      <c r="H823" t="s">
        <v>16</v>
      </c>
      <c r="I823" t="s">
        <v>464</v>
      </c>
      <c r="J823" t="s">
        <v>465</v>
      </c>
      <c r="K823" t="s">
        <v>1809</v>
      </c>
      <c r="L823" t="str">
        <f>HYPERLINK("https://business-monitor.ch/de/companies/1017158-md-transporte-handel-micic?utm_source=oberaargau","PROFIL ANSEHEN")</f>
        <v>PROFIL ANSEHEN</v>
      </c>
    </row>
    <row r="824" spans="1:12" x14ac:dyDescent="0.2">
      <c r="A824" t="s">
        <v>9791</v>
      </c>
      <c r="B824" t="s">
        <v>9792</v>
      </c>
      <c r="C824" t="s">
        <v>1812</v>
      </c>
      <c r="E824" t="s">
        <v>5384</v>
      </c>
      <c r="F824">
        <v>3367</v>
      </c>
      <c r="G824" t="s">
        <v>1336</v>
      </c>
      <c r="H824" t="s">
        <v>16</v>
      </c>
      <c r="I824" t="s">
        <v>928</v>
      </c>
      <c r="J824" t="s">
        <v>929</v>
      </c>
      <c r="K824" t="s">
        <v>1809</v>
      </c>
      <c r="L824" t="str">
        <f>HYPERLINK("https://business-monitor.ch/de/companies/1019481-siegrist-s-welt?utm_source=oberaargau","PROFIL ANSEHEN")</f>
        <v>PROFIL ANSEHEN</v>
      </c>
    </row>
    <row r="825" spans="1:12" x14ac:dyDescent="0.2">
      <c r="A825" t="s">
        <v>3255</v>
      </c>
      <c r="B825" t="s">
        <v>3256</v>
      </c>
      <c r="C825" t="s">
        <v>202</v>
      </c>
      <c r="E825" t="s">
        <v>3257</v>
      </c>
      <c r="F825">
        <v>4922</v>
      </c>
      <c r="G825" t="s">
        <v>99</v>
      </c>
      <c r="H825" t="s">
        <v>16</v>
      </c>
      <c r="I825" t="s">
        <v>1267</v>
      </c>
      <c r="J825" t="s">
        <v>1268</v>
      </c>
      <c r="K825" t="s">
        <v>1809</v>
      </c>
      <c r="L825" t="str">
        <f>HYPERLINK("https://business-monitor.ch/de/companies/260309-minato-dienstleistungen-gmbh?utm_source=oberaargau","PROFIL ANSEHEN")</f>
        <v>PROFIL ANSEHEN</v>
      </c>
    </row>
    <row r="826" spans="1:12" x14ac:dyDescent="0.2">
      <c r="A826" t="s">
        <v>11894</v>
      </c>
      <c r="B826" t="s">
        <v>11895</v>
      </c>
      <c r="C826" t="s">
        <v>1812</v>
      </c>
      <c r="E826" t="s">
        <v>11896</v>
      </c>
      <c r="F826">
        <v>4538</v>
      </c>
      <c r="G826" t="s">
        <v>71</v>
      </c>
      <c r="H826" t="s">
        <v>16</v>
      </c>
      <c r="I826" t="s">
        <v>551</v>
      </c>
      <c r="J826" t="s">
        <v>552</v>
      </c>
      <c r="K826" t="s">
        <v>1809</v>
      </c>
      <c r="L826" t="str">
        <f>HYPERLINK("https://business-monitor.ch/de/companies/990261-boeke-consultancy-services?utm_source=oberaargau","PROFIL ANSEHEN")</f>
        <v>PROFIL ANSEHEN</v>
      </c>
    </row>
    <row r="827" spans="1:12" x14ac:dyDescent="0.2">
      <c r="A827" t="s">
        <v>701</v>
      </c>
      <c r="B827" t="s">
        <v>8945</v>
      </c>
      <c r="C827" t="s">
        <v>1812</v>
      </c>
      <c r="E827" t="s">
        <v>8946</v>
      </c>
      <c r="F827">
        <v>4704</v>
      </c>
      <c r="G827" t="s">
        <v>221</v>
      </c>
      <c r="H827" t="s">
        <v>16</v>
      </c>
      <c r="I827" t="s">
        <v>2231</v>
      </c>
      <c r="J827" t="s">
        <v>2232</v>
      </c>
      <c r="K827" t="s">
        <v>1809</v>
      </c>
      <c r="L827" t="str">
        <f>HYPERLINK("https://business-monitor.ch/de/companies/264514-malergeschaeft-meyer?utm_source=oberaargau","PROFIL ANSEHEN")</f>
        <v>PROFIL ANSEHEN</v>
      </c>
    </row>
    <row r="828" spans="1:12" x14ac:dyDescent="0.2">
      <c r="A828" t="s">
        <v>3731</v>
      </c>
      <c r="B828" t="s">
        <v>3732</v>
      </c>
      <c r="C828" t="s">
        <v>1812</v>
      </c>
      <c r="E828" t="s">
        <v>3733</v>
      </c>
      <c r="F828">
        <v>4924</v>
      </c>
      <c r="G828" t="s">
        <v>3727</v>
      </c>
      <c r="H828" t="s">
        <v>16</v>
      </c>
      <c r="I828" t="s">
        <v>679</v>
      </c>
      <c r="J828" t="s">
        <v>680</v>
      </c>
      <c r="K828" t="s">
        <v>1809</v>
      </c>
      <c r="L828" t="str">
        <f>HYPERLINK("https://business-monitor.ch/de/companies/359829-marmart-marmet?utm_source=oberaargau","PROFIL ANSEHEN")</f>
        <v>PROFIL ANSEHEN</v>
      </c>
    </row>
    <row r="829" spans="1:12" x14ac:dyDescent="0.2">
      <c r="A829" t="s">
        <v>10613</v>
      </c>
      <c r="B829" t="s">
        <v>10614</v>
      </c>
      <c r="C829" t="s">
        <v>1812</v>
      </c>
      <c r="E829" t="s">
        <v>10615</v>
      </c>
      <c r="F829">
        <v>4934</v>
      </c>
      <c r="G829" t="s">
        <v>670</v>
      </c>
      <c r="H829" t="s">
        <v>16</v>
      </c>
      <c r="I829" t="s">
        <v>1470</v>
      </c>
      <c r="J829" t="s">
        <v>1471</v>
      </c>
      <c r="K829" t="s">
        <v>1809</v>
      </c>
      <c r="L829" t="str">
        <f>HYPERLINK("https://business-monitor.ch/de/companies/366606-christoph-wenger-haustechnik?utm_source=oberaargau","PROFIL ANSEHEN")</f>
        <v>PROFIL ANSEHEN</v>
      </c>
    </row>
    <row r="830" spans="1:12" x14ac:dyDescent="0.2">
      <c r="A830" t="s">
        <v>3469</v>
      </c>
      <c r="B830" t="s">
        <v>3470</v>
      </c>
      <c r="C830" t="s">
        <v>13</v>
      </c>
      <c r="E830" t="s">
        <v>3471</v>
      </c>
      <c r="F830">
        <v>4900</v>
      </c>
      <c r="G830" t="s">
        <v>41</v>
      </c>
      <c r="H830" t="s">
        <v>16</v>
      </c>
      <c r="I830" t="s">
        <v>906</v>
      </c>
      <c r="J830" t="s">
        <v>907</v>
      </c>
      <c r="K830" t="s">
        <v>1809</v>
      </c>
      <c r="L830" t="str">
        <f>HYPERLINK("https://business-monitor.ch/de/companies/170942-willi-boesiger-ag?utm_source=oberaargau","PROFIL ANSEHEN")</f>
        <v>PROFIL ANSEHEN</v>
      </c>
    </row>
    <row r="831" spans="1:12" x14ac:dyDescent="0.2">
      <c r="A831" t="s">
        <v>9449</v>
      </c>
      <c r="B831" t="s">
        <v>9450</v>
      </c>
      <c r="C831" t="s">
        <v>202</v>
      </c>
      <c r="E831" t="s">
        <v>7601</v>
      </c>
      <c r="F831">
        <v>4900</v>
      </c>
      <c r="G831" t="s">
        <v>41</v>
      </c>
      <c r="H831" t="s">
        <v>16</v>
      </c>
      <c r="I831" t="s">
        <v>1993</v>
      </c>
      <c r="J831" t="s">
        <v>1994</v>
      </c>
      <c r="K831" t="s">
        <v>1809</v>
      </c>
      <c r="L831" t="str">
        <f>HYPERLINK("https://business-monitor.ch/de/companies/290560-immoring-gmbh?utm_source=oberaargau","PROFIL ANSEHEN")</f>
        <v>PROFIL ANSEHEN</v>
      </c>
    </row>
    <row r="832" spans="1:12" x14ac:dyDescent="0.2">
      <c r="A832" t="s">
        <v>12320</v>
      </c>
      <c r="B832" t="s">
        <v>14396</v>
      </c>
      <c r="C832" t="s">
        <v>1812</v>
      </c>
      <c r="E832" t="s">
        <v>14397</v>
      </c>
      <c r="F832">
        <v>3368</v>
      </c>
      <c r="G832" t="s">
        <v>308</v>
      </c>
      <c r="H832" t="s">
        <v>16</v>
      </c>
      <c r="I832" t="s">
        <v>824</v>
      </c>
      <c r="J832" t="s">
        <v>825</v>
      </c>
      <c r="K832" t="s">
        <v>1809</v>
      </c>
      <c r="L832" t="str">
        <f>HYPERLINK("https://business-monitor.ch/de/companies/1189545-hangar-s-herzig?utm_source=oberaargau","PROFIL ANSEHEN")</f>
        <v>PROFIL ANSEHEN</v>
      </c>
    </row>
    <row r="833" spans="1:12" x14ac:dyDescent="0.2">
      <c r="A833" t="s">
        <v>5149</v>
      </c>
      <c r="B833" t="s">
        <v>5150</v>
      </c>
      <c r="C833" t="s">
        <v>1812</v>
      </c>
      <c r="E833" t="s">
        <v>5151</v>
      </c>
      <c r="F833">
        <v>4923</v>
      </c>
      <c r="G833" t="s">
        <v>732</v>
      </c>
      <c r="H833" t="s">
        <v>16</v>
      </c>
      <c r="I833" t="s">
        <v>1535</v>
      </c>
      <c r="J833" t="s">
        <v>1536</v>
      </c>
      <c r="K833" t="s">
        <v>1809</v>
      </c>
      <c r="L833" t="str">
        <f>HYPERLINK("https://business-monitor.ch/de/companies/50715-beat-mettler?utm_source=oberaargau","PROFIL ANSEHEN")</f>
        <v>PROFIL ANSEHEN</v>
      </c>
    </row>
    <row r="834" spans="1:12" x14ac:dyDescent="0.2">
      <c r="A834" t="s">
        <v>14130</v>
      </c>
      <c r="B834" t="s">
        <v>14131</v>
      </c>
      <c r="C834" t="s">
        <v>1812</v>
      </c>
      <c r="E834" t="s">
        <v>5878</v>
      </c>
      <c r="F834">
        <v>4704</v>
      </c>
      <c r="G834" t="s">
        <v>221</v>
      </c>
      <c r="H834" t="s">
        <v>16</v>
      </c>
      <c r="I834" t="s">
        <v>1981</v>
      </c>
      <c r="J834" t="s">
        <v>1982</v>
      </c>
      <c r="K834" t="s">
        <v>1809</v>
      </c>
      <c r="L834" t="str">
        <f>HYPERLINK("https://business-monitor.ch/de/companies/1287225-illyrian-watches-zahiri?utm_source=oberaargau","PROFIL ANSEHEN")</f>
        <v>PROFIL ANSEHEN</v>
      </c>
    </row>
    <row r="835" spans="1:12" x14ac:dyDescent="0.2">
      <c r="A835" t="s">
        <v>4004</v>
      </c>
      <c r="B835" t="s">
        <v>4005</v>
      </c>
      <c r="C835" t="s">
        <v>202</v>
      </c>
      <c r="E835" t="s">
        <v>4006</v>
      </c>
      <c r="F835">
        <v>4938</v>
      </c>
      <c r="G835" t="s">
        <v>618</v>
      </c>
      <c r="H835" t="s">
        <v>16</v>
      </c>
      <c r="I835" t="s">
        <v>662</v>
      </c>
      <c r="J835" t="s">
        <v>663</v>
      </c>
      <c r="K835" t="s">
        <v>1809</v>
      </c>
      <c r="L835" t="str">
        <f>HYPERLINK("https://business-monitor.ch/de/companies/665140-bill-bedachungen-gmbh?utm_source=oberaargau","PROFIL ANSEHEN")</f>
        <v>PROFIL ANSEHEN</v>
      </c>
    </row>
    <row r="836" spans="1:12" x14ac:dyDescent="0.2">
      <c r="A836" t="s">
        <v>13289</v>
      </c>
      <c r="B836" t="s">
        <v>13290</v>
      </c>
      <c r="C836" t="s">
        <v>13</v>
      </c>
      <c r="E836" t="s">
        <v>13291</v>
      </c>
      <c r="F836">
        <v>3360</v>
      </c>
      <c r="G836" t="s">
        <v>35</v>
      </c>
      <c r="H836" t="s">
        <v>16</v>
      </c>
      <c r="I836" t="s">
        <v>935</v>
      </c>
      <c r="J836" t="s">
        <v>936</v>
      </c>
      <c r="K836" t="s">
        <v>1809</v>
      </c>
      <c r="L836" t="str">
        <f>HYPERLINK("https://business-monitor.ch/de/companies/1246960-amma-schweiz-ag?utm_source=oberaargau","PROFIL ANSEHEN")</f>
        <v>PROFIL ANSEHEN</v>
      </c>
    </row>
    <row r="837" spans="1:12" x14ac:dyDescent="0.2">
      <c r="A837" t="s">
        <v>10994</v>
      </c>
      <c r="B837" t="s">
        <v>10995</v>
      </c>
      <c r="C837" t="s">
        <v>202</v>
      </c>
      <c r="E837" t="s">
        <v>10996</v>
      </c>
      <c r="F837">
        <v>4537</v>
      </c>
      <c r="G837" t="s">
        <v>113</v>
      </c>
      <c r="H837" t="s">
        <v>16</v>
      </c>
      <c r="I837" t="s">
        <v>2825</v>
      </c>
      <c r="J837" t="s">
        <v>2826</v>
      </c>
      <c r="K837" t="s">
        <v>1809</v>
      </c>
      <c r="L837" t="str">
        <f>HYPERLINK("https://business-monitor.ch/de/companies/1121265-ilumo-gmbh?utm_source=oberaargau","PROFIL ANSEHEN")</f>
        <v>PROFIL ANSEHEN</v>
      </c>
    </row>
    <row r="838" spans="1:12" x14ac:dyDescent="0.2">
      <c r="A838" t="s">
        <v>10124</v>
      </c>
      <c r="B838" t="s">
        <v>10125</v>
      </c>
      <c r="C838" t="s">
        <v>13</v>
      </c>
      <c r="E838" t="s">
        <v>947</v>
      </c>
      <c r="F838">
        <v>4900</v>
      </c>
      <c r="G838" t="s">
        <v>41</v>
      </c>
      <c r="H838" t="s">
        <v>16</v>
      </c>
      <c r="I838" t="s">
        <v>587</v>
      </c>
      <c r="J838" t="s">
        <v>588</v>
      </c>
      <c r="K838" t="s">
        <v>1809</v>
      </c>
      <c r="L838" t="str">
        <f>HYPERLINK("https://business-monitor.ch/de/companies/661546-bernhard-partner-ag?utm_source=oberaargau","PROFIL ANSEHEN")</f>
        <v>PROFIL ANSEHEN</v>
      </c>
    </row>
    <row r="839" spans="1:12" x14ac:dyDescent="0.2">
      <c r="A839" t="s">
        <v>3106</v>
      </c>
      <c r="B839" t="s">
        <v>3107</v>
      </c>
      <c r="C839" t="s">
        <v>1812</v>
      </c>
      <c r="E839" t="s">
        <v>3108</v>
      </c>
      <c r="F839">
        <v>4922</v>
      </c>
      <c r="G839" t="s">
        <v>99</v>
      </c>
      <c r="H839" t="s">
        <v>16</v>
      </c>
      <c r="I839" t="s">
        <v>624</v>
      </c>
      <c r="J839" t="s">
        <v>625</v>
      </c>
      <c r="K839" t="s">
        <v>1809</v>
      </c>
      <c r="L839" t="str">
        <f>HYPERLINK("https://business-monitor.ch/de/companies/324877-smhpa-simon-morgenthaler-holz-planung-ausfuehrung?utm_source=oberaargau","PROFIL ANSEHEN")</f>
        <v>PROFIL ANSEHEN</v>
      </c>
    </row>
    <row r="840" spans="1:12" x14ac:dyDescent="0.2">
      <c r="A840" t="s">
        <v>11413</v>
      </c>
      <c r="B840" t="s">
        <v>11414</v>
      </c>
      <c r="C840" t="s">
        <v>202</v>
      </c>
      <c r="E840" t="s">
        <v>11415</v>
      </c>
      <c r="F840">
        <v>4955</v>
      </c>
      <c r="G840" t="s">
        <v>684</v>
      </c>
      <c r="H840" t="s">
        <v>16</v>
      </c>
      <c r="I840" t="s">
        <v>679</v>
      </c>
      <c r="J840" t="s">
        <v>680</v>
      </c>
      <c r="K840" t="s">
        <v>1809</v>
      </c>
      <c r="L840" t="str">
        <f>HYPERLINK("https://business-monitor.ch/de/companies/950863-timber-grizzlys-gmbh?utm_source=oberaargau","PROFIL ANSEHEN")</f>
        <v>PROFIL ANSEHEN</v>
      </c>
    </row>
    <row r="841" spans="1:12" x14ac:dyDescent="0.2">
      <c r="A841" t="s">
        <v>11726</v>
      </c>
      <c r="B841" t="s">
        <v>11727</v>
      </c>
      <c r="C841" t="s">
        <v>202</v>
      </c>
      <c r="E841" t="s">
        <v>3176</v>
      </c>
      <c r="F841">
        <v>4932</v>
      </c>
      <c r="G841" t="s">
        <v>2036</v>
      </c>
      <c r="H841" t="s">
        <v>16</v>
      </c>
      <c r="I841" t="s">
        <v>7154</v>
      </c>
      <c r="J841" t="s">
        <v>7155</v>
      </c>
      <c r="K841" t="s">
        <v>1809</v>
      </c>
      <c r="L841" t="str">
        <f>HYPERLINK("https://business-monitor.ch/de/companies/1151127-swiss-boat-solutions-gmbh?utm_source=oberaargau","PROFIL ANSEHEN")</f>
        <v>PROFIL ANSEHEN</v>
      </c>
    </row>
    <row r="842" spans="1:12" x14ac:dyDescent="0.2">
      <c r="A842" t="s">
        <v>13847</v>
      </c>
      <c r="B842" t="s">
        <v>13848</v>
      </c>
      <c r="C842" t="s">
        <v>1812</v>
      </c>
      <c r="E842" t="s">
        <v>13849</v>
      </c>
      <c r="F842">
        <v>4704</v>
      </c>
      <c r="G842" t="s">
        <v>221</v>
      </c>
      <c r="H842" t="s">
        <v>16</v>
      </c>
      <c r="I842" t="s">
        <v>642</v>
      </c>
      <c r="J842" t="s">
        <v>643</v>
      </c>
      <c r="K842" t="s">
        <v>1809</v>
      </c>
      <c r="L842" t="str">
        <f>HYPERLINK("https://business-monitor.ch/de/companies/1269694-pfr-automobile-qallakaj?utm_source=oberaargau","PROFIL ANSEHEN")</f>
        <v>PROFIL ANSEHEN</v>
      </c>
    </row>
    <row r="843" spans="1:12" x14ac:dyDescent="0.2">
      <c r="A843" t="s">
        <v>14233</v>
      </c>
      <c r="B843" t="s">
        <v>14234</v>
      </c>
      <c r="C843" t="s">
        <v>1812</v>
      </c>
      <c r="E843" t="s">
        <v>4080</v>
      </c>
      <c r="F843">
        <v>3360</v>
      </c>
      <c r="G843" t="s">
        <v>35</v>
      </c>
      <c r="H843" t="s">
        <v>16</v>
      </c>
      <c r="I843" t="s">
        <v>2226</v>
      </c>
      <c r="J843" t="s">
        <v>2227</v>
      </c>
      <c r="K843" t="s">
        <v>1809</v>
      </c>
      <c r="L843" t="str">
        <f>HYPERLINK("https://business-monitor.ch/de/companies/1294150-chnetbar-nicole-buerki?utm_source=oberaargau","PROFIL ANSEHEN")</f>
        <v>PROFIL ANSEHEN</v>
      </c>
    </row>
    <row r="844" spans="1:12" x14ac:dyDescent="0.2">
      <c r="A844" t="s">
        <v>13083</v>
      </c>
      <c r="B844" t="s">
        <v>13084</v>
      </c>
      <c r="C844" t="s">
        <v>1812</v>
      </c>
      <c r="E844" t="s">
        <v>13085</v>
      </c>
      <c r="F844">
        <v>4900</v>
      </c>
      <c r="G844" t="s">
        <v>41</v>
      </c>
      <c r="H844" t="s">
        <v>16</v>
      </c>
      <c r="I844" t="s">
        <v>1062</v>
      </c>
      <c r="J844" t="s">
        <v>1063</v>
      </c>
      <c r="K844" t="s">
        <v>1809</v>
      </c>
      <c r="L844" t="str">
        <f>HYPERLINK("https://business-monitor.ch/de/companies/1228854-kerveros-keramik-charalampidis?utm_source=oberaargau","PROFIL ANSEHEN")</f>
        <v>PROFIL ANSEHEN</v>
      </c>
    </row>
    <row r="845" spans="1:12" x14ac:dyDescent="0.2">
      <c r="A845" t="s">
        <v>14398</v>
      </c>
      <c r="B845" t="s">
        <v>14399</v>
      </c>
      <c r="C845" t="s">
        <v>202</v>
      </c>
      <c r="E845" t="s">
        <v>14400</v>
      </c>
      <c r="F845">
        <v>4911</v>
      </c>
      <c r="G845" t="s">
        <v>1005</v>
      </c>
      <c r="H845" t="s">
        <v>16</v>
      </c>
      <c r="I845" t="s">
        <v>77</v>
      </c>
      <c r="J845" t="s">
        <v>78</v>
      </c>
      <c r="K845" t="s">
        <v>1809</v>
      </c>
      <c r="L845" t="str">
        <f>HYPERLINK("https://business-monitor.ch/de/companies/117447-lakonita-lizenzbau-gmbh?utm_source=oberaargau","PROFIL ANSEHEN")</f>
        <v>PROFIL ANSEHEN</v>
      </c>
    </row>
    <row r="846" spans="1:12" x14ac:dyDescent="0.2">
      <c r="A846" t="s">
        <v>5404</v>
      </c>
      <c r="B846" t="s">
        <v>5405</v>
      </c>
      <c r="C846" t="s">
        <v>1812</v>
      </c>
      <c r="E846" t="s">
        <v>5406</v>
      </c>
      <c r="F846">
        <v>3360</v>
      </c>
      <c r="G846" t="s">
        <v>35</v>
      </c>
      <c r="H846" t="s">
        <v>16</v>
      </c>
      <c r="I846" t="s">
        <v>2414</v>
      </c>
      <c r="J846" t="s">
        <v>2415</v>
      </c>
      <c r="K846" t="s">
        <v>1809</v>
      </c>
      <c r="L846" t="str">
        <f>HYPERLINK("https://business-monitor.ch/de/companies/274555-restaurant-national-m-petrovic?utm_source=oberaargau","PROFIL ANSEHEN")</f>
        <v>PROFIL ANSEHEN</v>
      </c>
    </row>
    <row r="847" spans="1:12" x14ac:dyDescent="0.2">
      <c r="A847" t="s">
        <v>5964</v>
      </c>
      <c r="B847" t="s">
        <v>5965</v>
      </c>
      <c r="C847" t="s">
        <v>202</v>
      </c>
      <c r="E847" t="s">
        <v>5966</v>
      </c>
      <c r="F847">
        <v>4538</v>
      </c>
      <c r="G847" t="s">
        <v>71</v>
      </c>
      <c r="H847" t="s">
        <v>16</v>
      </c>
      <c r="I847" t="s">
        <v>5080</v>
      </c>
      <c r="J847" t="s">
        <v>5081</v>
      </c>
      <c r="K847" t="s">
        <v>1809</v>
      </c>
      <c r="L847" t="str">
        <f>HYPERLINK("https://business-monitor.ch/de/companies/461270-kita-oberbipp-gmbh?utm_source=oberaargau","PROFIL ANSEHEN")</f>
        <v>PROFIL ANSEHEN</v>
      </c>
    </row>
    <row r="848" spans="1:12" x14ac:dyDescent="0.2">
      <c r="A848" t="s">
        <v>4176</v>
      </c>
      <c r="B848" t="s">
        <v>4177</v>
      </c>
      <c r="C848" t="s">
        <v>202</v>
      </c>
      <c r="E848" t="s">
        <v>4178</v>
      </c>
      <c r="F848">
        <v>4922</v>
      </c>
      <c r="G848" t="s">
        <v>1318</v>
      </c>
      <c r="H848" t="s">
        <v>16</v>
      </c>
      <c r="I848" t="s">
        <v>157</v>
      </c>
      <c r="J848" t="s">
        <v>158</v>
      </c>
      <c r="K848" t="s">
        <v>1809</v>
      </c>
      <c r="L848" t="str">
        <f>HYPERLINK("https://business-monitor.ch/de/companies/1012630-scheidegger-solutions-gmbh?utm_source=oberaargau","PROFIL ANSEHEN")</f>
        <v>PROFIL ANSEHEN</v>
      </c>
    </row>
    <row r="849" spans="1:12" x14ac:dyDescent="0.2">
      <c r="A849" t="s">
        <v>5862</v>
      </c>
      <c r="B849" t="s">
        <v>5863</v>
      </c>
      <c r="C849" t="s">
        <v>202</v>
      </c>
      <c r="D849" t="s">
        <v>5864</v>
      </c>
      <c r="E849" t="s">
        <v>10158</v>
      </c>
      <c r="F849">
        <v>4536</v>
      </c>
      <c r="G849" t="s">
        <v>1395</v>
      </c>
      <c r="H849" t="s">
        <v>16</v>
      </c>
      <c r="I849" t="s">
        <v>186</v>
      </c>
      <c r="J849" t="s">
        <v>187</v>
      </c>
      <c r="K849" t="s">
        <v>1809</v>
      </c>
      <c r="L849" t="str">
        <f>HYPERLINK("https://business-monitor.ch/de/companies/506162-tony-meyer-holding-gmbh?utm_source=oberaargau","PROFIL ANSEHEN")</f>
        <v>PROFIL ANSEHEN</v>
      </c>
    </row>
    <row r="850" spans="1:12" x14ac:dyDescent="0.2">
      <c r="A850" t="s">
        <v>14401</v>
      </c>
      <c r="B850" t="s">
        <v>14402</v>
      </c>
      <c r="C850" t="s">
        <v>202</v>
      </c>
      <c r="E850" t="s">
        <v>14403</v>
      </c>
      <c r="F850">
        <v>4938</v>
      </c>
      <c r="G850" t="s">
        <v>618</v>
      </c>
      <c r="H850" t="s">
        <v>16</v>
      </c>
      <c r="I850" t="s">
        <v>1535</v>
      </c>
      <c r="J850" t="s">
        <v>1536</v>
      </c>
      <c r="K850" t="s">
        <v>1809</v>
      </c>
      <c r="L850" t="str">
        <f>HYPERLINK("https://business-monitor.ch/de/companies/1306953-samuel-gartenbau-gmbh?utm_source=oberaargau","PROFIL ANSEHEN")</f>
        <v>PROFIL ANSEHEN</v>
      </c>
    </row>
    <row r="851" spans="1:12" x14ac:dyDescent="0.2">
      <c r="A851" t="s">
        <v>8099</v>
      </c>
      <c r="B851" t="s">
        <v>8100</v>
      </c>
      <c r="C851" t="s">
        <v>13</v>
      </c>
      <c r="E851" t="s">
        <v>166</v>
      </c>
      <c r="F851">
        <v>4900</v>
      </c>
      <c r="G851" t="s">
        <v>41</v>
      </c>
      <c r="H851" t="s">
        <v>16</v>
      </c>
      <c r="I851" t="s">
        <v>2337</v>
      </c>
      <c r="J851" t="s">
        <v>2338</v>
      </c>
      <c r="K851" t="s">
        <v>1809</v>
      </c>
      <c r="L851" t="str">
        <f>HYPERLINK("https://business-monitor.ch/de/companies/1061954-emilou-invest-ag?utm_source=oberaargau","PROFIL ANSEHEN")</f>
        <v>PROFIL ANSEHEN</v>
      </c>
    </row>
    <row r="852" spans="1:12" x14ac:dyDescent="0.2">
      <c r="A852" t="s">
        <v>7279</v>
      </c>
      <c r="B852" t="s">
        <v>7280</v>
      </c>
      <c r="C852" t="s">
        <v>202</v>
      </c>
      <c r="D852" t="s">
        <v>7281</v>
      </c>
      <c r="E852" t="s">
        <v>7282</v>
      </c>
      <c r="F852">
        <v>4900</v>
      </c>
      <c r="G852" t="s">
        <v>41</v>
      </c>
      <c r="H852" t="s">
        <v>16</v>
      </c>
      <c r="I852" t="s">
        <v>1993</v>
      </c>
      <c r="J852" t="s">
        <v>1994</v>
      </c>
      <c r="K852" t="s">
        <v>1809</v>
      </c>
      <c r="L852" t="str">
        <f>HYPERLINK("https://business-monitor.ch/de/companies/1011820-hugo-immobilien-gmbh?utm_source=oberaargau","PROFIL ANSEHEN")</f>
        <v>PROFIL ANSEHEN</v>
      </c>
    </row>
    <row r="853" spans="1:12" x14ac:dyDescent="0.2">
      <c r="A853" t="s">
        <v>6143</v>
      </c>
      <c r="B853" t="s">
        <v>6144</v>
      </c>
      <c r="C853" t="s">
        <v>1812</v>
      </c>
      <c r="E853" t="s">
        <v>6145</v>
      </c>
      <c r="F853">
        <v>4917</v>
      </c>
      <c r="G853" t="s">
        <v>376</v>
      </c>
      <c r="H853" t="s">
        <v>16</v>
      </c>
      <c r="I853" t="s">
        <v>1053</v>
      </c>
      <c r="J853" t="s">
        <v>1054</v>
      </c>
      <c r="K853" t="s">
        <v>1809</v>
      </c>
      <c r="L853" t="str">
        <f>HYPERLINK("https://business-monitor.ch/de/companies/394062-soundconcept-fritz-roth?utm_source=oberaargau","PROFIL ANSEHEN")</f>
        <v>PROFIL ANSEHEN</v>
      </c>
    </row>
    <row r="854" spans="1:12" x14ac:dyDescent="0.2">
      <c r="A854" t="s">
        <v>3698</v>
      </c>
      <c r="B854" t="s">
        <v>3699</v>
      </c>
      <c r="C854" t="s">
        <v>1922</v>
      </c>
      <c r="D854" t="s">
        <v>3700</v>
      </c>
      <c r="E854" t="s">
        <v>3701</v>
      </c>
      <c r="F854">
        <v>4704</v>
      </c>
      <c r="G854" t="s">
        <v>221</v>
      </c>
      <c r="H854" t="s">
        <v>16</v>
      </c>
      <c r="I854" t="s">
        <v>3702</v>
      </c>
      <c r="J854" t="s">
        <v>3703</v>
      </c>
      <c r="K854" t="s">
        <v>1809</v>
      </c>
      <c r="L854" t="str">
        <f>HYPERLINK("https://business-monitor.ch/de/companies/19387-ferienheim-der-burgergemeinde-niederbipp?utm_source=oberaargau","PROFIL ANSEHEN")</f>
        <v>PROFIL ANSEHEN</v>
      </c>
    </row>
    <row r="855" spans="1:12" x14ac:dyDescent="0.2">
      <c r="A855" t="s">
        <v>4160</v>
      </c>
      <c r="B855" t="s">
        <v>4161</v>
      </c>
      <c r="C855" t="s">
        <v>1812</v>
      </c>
      <c r="E855" t="s">
        <v>4162</v>
      </c>
      <c r="F855">
        <v>4955</v>
      </c>
      <c r="G855" t="s">
        <v>684</v>
      </c>
      <c r="H855" t="s">
        <v>16</v>
      </c>
      <c r="I855" t="s">
        <v>464</v>
      </c>
      <c r="J855" t="s">
        <v>465</v>
      </c>
      <c r="K855" t="s">
        <v>1809</v>
      </c>
      <c r="L855" t="str">
        <f>HYPERLINK("https://business-monitor.ch/de/companies/1014901-rolf-greminger-transporte?utm_source=oberaargau","PROFIL ANSEHEN")</f>
        <v>PROFIL ANSEHEN</v>
      </c>
    </row>
    <row r="856" spans="1:12" x14ac:dyDescent="0.2">
      <c r="A856" t="s">
        <v>1926</v>
      </c>
      <c r="B856" t="s">
        <v>1927</v>
      </c>
      <c r="C856" t="s">
        <v>1812</v>
      </c>
      <c r="E856" t="s">
        <v>1928</v>
      </c>
      <c r="F856">
        <v>4917</v>
      </c>
      <c r="G856" t="s">
        <v>376</v>
      </c>
      <c r="H856" t="s">
        <v>16</v>
      </c>
      <c r="I856" t="s">
        <v>3702</v>
      </c>
      <c r="J856" t="s">
        <v>3703</v>
      </c>
      <c r="K856" t="s">
        <v>1809</v>
      </c>
      <c r="L856" t="str">
        <f>HYPERLINK("https://business-monitor.ch/de/companies/279624-juerg-stuker-discovision?utm_source=oberaargau","PROFIL ANSEHEN")</f>
        <v>PROFIL ANSEHEN</v>
      </c>
    </row>
    <row r="857" spans="1:12" x14ac:dyDescent="0.2">
      <c r="A857" t="s">
        <v>7793</v>
      </c>
      <c r="B857" t="s">
        <v>7794</v>
      </c>
      <c r="C857" t="s">
        <v>202</v>
      </c>
      <c r="E857" t="s">
        <v>993</v>
      </c>
      <c r="F857">
        <v>4704</v>
      </c>
      <c r="G857" t="s">
        <v>221</v>
      </c>
      <c r="H857" t="s">
        <v>16</v>
      </c>
      <c r="I857" t="s">
        <v>4221</v>
      </c>
      <c r="J857" t="s">
        <v>4222</v>
      </c>
      <c r="K857" t="s">
        <v>1809</v>
      </c>
      <c r="L857" t="str">
        <f>HYPERLINK("https://business-monitor.ch/de/companies/550902-scaffpower-ch-service-gmbh?utm_source=oberaargau","PROFIL ANSEHEN")</f>
        <v>PROFIL ANSEHEN</v>
      </c>
    </row>
    <row r="858" spans="1:12" x14ac:dyDescent="0.2">
      <c r="A858" t="s">
        <v>13088</v>
      </c>
      <c r="B858" t="s">
        <v>13089</v>
      </c>
      <c r="C858" t="s">
        <v>13</v>
      </c>
      <c r="E858" t="s">
        <v>12271</v>
      </c>
      <c r="F858">
        <v>3360</v>
      </c>
      <c r="G858" t="s">
        <v>35</v>
      </c>
      <c r="H858" t="s">
        <v>16</v>
      </c>
      <c r="I858" t="s">
        <v>186</v>
      </c>
      <c r="J858" t="s">
        <v>187</v>
      </c>
      <c r="K858" t="s">
        <v>1809</v>
      </c>
      <c r="L858" t="str">
        <f>HYPERLINK("https://business-monitor.ch/de/companies/1235884-mastery-holding-ag?utm_source=oberaargau","PROFIL ANSEHEN")</f>
        <v>PROFIL ANSEHEN</v>
      </c>
    </row>
    <row r="859" spans="1:12" x14ac:dyDescent="0.2">
      <c r="A859" t="s">
        <v>14404</v>
      </c>
      <c r="B859" t="s">
        <v>14405</v>
      </c>
      <c r="C859" t="s">
        <v>202</v>
      </c>
      <c r="E859" t="s">
        <v>584</v>
      </c>
      <c r="F859">
        <v>3380</v>
      </c>
      <c r="G859" t="s">
        <v>29</v>
      </c>
      <c r="H859" t="s">
        <v>16</v>
      </c>
      <c r="I859" t="s">
        <v>4534</v>
      </c>
      <c r="J859" t="s">
        <v>4535</v>
      </c>
      <c r="K859" t="s">
        <v>1809</v>
      </c>
      <c r="L859" t="str">
        <f>HYPERLINK("https://business-monitor.ch/de/companies/1308878-fiuto-gmbh?utm_source=oberaargau","PROFIL ANSEHEN")</f>
        <v>PROFIL ANSEHEN</v>
      </c>
    </row>
    <row r="860" spans="1:12" x14ac:dyDescent="0.2">
      <c r="A860" t="s">
        <v>12396</v>
      </c>
      <c r="B860" t="s">
        <v>12397</v>
      </c>
      <c r="C860" t="s">
        <v>202</v>
      </c>
      <c r="E860" t="s">
        <v>10950</v>
      </c>
      <c r="F860">
        <v>4912</v>
      </c>
      <c r="G860" t="s">
        <v>64</v>
      </c>
      <c r="H860" t="s">
        <v>16</v>
      </c>
      <c r="I860" t="s">
        <v>2748</v>
      </c>
      <c r="J860" t="s">
        <v>2749</v>
      </c>
      <c r="K860" t="s">
        <v>1809</v>
      </c>
      <c r="L860" t="str">
        <f>HYPERLINK("https://business-monitor.ch/de/companies/1200523-wotans-tierbetreuung-gmbh?utm_source=oberaargau","PROFIL ANSEHEN")</f>
        <v>PROFIL ANSEHEN</v>
      </c>
    </row>
    <row r="861" spans="1:12" x14ac:dyDescent="0.2">
      <c r="A861" t="s">
        <v>2383</v>
      </c>
      <c r="B861" t="s">
        <v>2384</v>
      </c>
      <c r="C861" t="s">
        <v>1812</v>
      </c>
      <c r="E861" t="s">
        <v>2385</v>
      </c>
      <c r="F861">
        <v>4900</v>
      </c>
      <c r="G861" t="s">
        <v>41</v>
      </c>
      <c r="H861" t="s">
        <v>16</v>
      </c>
      <c r="I861" t="s">
        <v>679</v>
      </c>
      <c r="J861" t="s">
        <v>680</v>
      </c>
      <c r="K861" t="s">
        <v>1809</v>
      </c>
      <c r="L861" t="str">
        <f>HYPERLINK("https://business-monitor.ch/de/companies/72415-matthias-heiniger?utm_source=oberaargau","PROFIL ANSEHEN")</f>
        <v>PROFIL ANSEHEN</v>
      </c>
    </row>
    <row r="862" spans="1:12" x14ac:dyDescent="0.2">
      <c r="A862" t="s">
        <v>12813</v>
      </c>
      <c r="B862" t="s">
        <v>12814</v>
      </c>
      <c r="C862" t="s">
        <v>202</v>
      </c>
      <c r="E862" t="s">
        <v>12815</v>
      </c>
      <c r="F862">
        <v>4924</v>
      </c>
      <c r="G862" t="s">
        <v>3727</v>
      </c>
      <c r="H862" t="s">
        <v>16</v>
      </c>
      <c r="I862" t="s">
        <v>4641</v>
      </c>
      <c r="J862" t="s">
        <v>4642</v>
      </c>
      <c r="K862" t="s">
        <v>1809</v>
      </c>
      <c r="L862" t="str">
        <f>HYPERLINK("https://business-monitor.ch/de/companies/1217742-mirawyn-gmbh?utm_source=oberaargau","PROFIL ANSEHEN")</f>
        <v>PROFIL ANSEHEN</v>
      </c>
    </row>
    <row r="863" spans="1:12" x14ac:dyDescent="0.2">
      <c r="A863" t="s">
        <v>13295</v>
      </c>
      <c r="B863" t="s">
        <v>13296</v>
      </c>
      <c r="C863" t="s">
        <v>1812</v>
      </c>
      <c r="E863" t="s">
        <v>13297</v>
      </c>
      <c r="F863">
        <v>4917</v>
      </c>
      <c r="G863" t="s">
        <v>376</v>
      </c>
      <c r="H863" t="s">
        <v>16</v>
      </c>
      <c r="I863" t="s">
        <v>1860</v>
      </c>
      <c r="J863" t="s">
        <v>1861</v>
      </c>
      <c r="K863" t="s">
        <v>1809</v>
      </c>
      <c r="L863" t="str">
        <f>HYPERLINK("https://business-monitor.ch/de/companies/1250695-beautybox-mueller?utm_source=oberaargau","PROFIL ANSEHEN")</f>
        <v>PROFIL ANSEHEN</v>
      </c>
    </row>
    <row r="864" spans="1:12" x14ac:dyDescent="0.2">
      <c r="A864" t="s">
        <v>4427</v>
      </c>
      <c r="B864" t="s">
        <v>4428</v>
      </c>
      <c r="C864" t="s">
        <v>1812</v>
      </c>
      <c r="E864" t="s">
        <v>4429</v>
      </c>
      <c r="F864">
        <v>3380</v>
      </c>
      <c r="G864" t="s">
        <v>29</v>
      </c>
      <c r="H864" t="s">
        <v>16</v>
      </c>
      <c r="I864" t="s">
        <v>748</v>
      </c>
      <c r="J864" t="s">
        <v>749</v>
      </c>
      <c r="K864" t="s">
        <v>1809</v>
      </c>
      <c r="L864" t="str">
        <f>HYPERLINK("https://business-monitor.ch/de/companies/931897-malerei-shali?utm_source=oberaargau","PROFIL ANSEHEN")</f>
        <v>PROFIL ANSEHEN</v>
      </c>
    </row>
    <row r="865" spans="1:12" x14ac:dyDescent="0.2">
      <c r="A865" t="s">
        <v>5197</v>
      </c>
      <c r="B865" t="s">
        <v>5198</v>
      </c>
      <c r="C865" t="s">
        <v>1922</v>
      </c>
      <c r="D865" t="s">
        <v>5199</v>
      </c>
      <c r="E865" t="s">
        <v>3132</v>
      </c>
      <c r="F865">
        <v>4900</v>
      </c>
      <c r="G865" t="s">
        <v>41</v>
      </c>
      <c r="H865" t="s">
        <v>16</v>
      </c>
      <c r="I865" t="s">
        <v>1924</v>
      </c>
      <c r="J865" t="s">
        <v>1925</v>
      </c>
      <c r="K865" t="s">
        <v>1809</v>
      </c>
      <c r="L865" t="str">
        <f>HYPERLINK("https://business-monitor.ch/de/companies/280000-samuel-kuert-stiftung?utm_source=oberaargau","PROFIL ANSEHEN")</f>
        <v>PROFIL ANSEHEN</v>
      </c>
    </row>
    <row r="866" spans="1:12" x14ac:dyDescent="0.2">
      <c r="A866" t="s">
        <v>12420</v>
      </c>
      <c r="B866" t="s">
        <v>12421</v>
      </c>
      <c r="C866" t="s">
        <v>202</v>
      </c>
      <c r="D866" t="s">
        <v>5864</v>
      </c>
      <c r="E866" t="s">
        <v>10158</v>
      </c>
      <c r="F866">
        <v>4536</v>
      </c>
      <c r="G866" t="s">
        <v>1395</v>
      </c>
      <c r="H866" t="s">
        <v>16</v>
      </c>
      <c r="I866" t="s">
        <v>935</v>
      </c>
      <c r="J866" t="s">
        <v>936</v>
      </c>
      <c r="K866" t="s">
        <v>1809</v>
      </c>
      <c r="L866" t="str">
        <f>HYPERLINK("https://business-monitor.ch/de/companies/1198973-linden-immobilien-gmbh?utm_source=oberaargau","PROFIL ANSEHEN")</f>
        <v>PROFIL ANSEHEN</v>
      </c>
    </row>
    <row r="867" spans="1:12" x14ac:dyDescent="0.2">
      <c r="A867" t="s">
        <v>8138</v>
      </c>
      <c r="B867" t="s">
        <v>8139</v>
      </c>
      <c r="C867" t="s">
        <v>1812</v>
      </c>
      <c r="E867" t="s">
        <v>8140</v>
      </c>
      <c r="F867">
        <v>4704</v>
      </c>
      <c r="G867" t="s">
        <v>221</v>
      </c>
      <c r="H867" t="s">
        <v>16</v>
      </c>
      <c r="I867" t="s">
        <v>153</v>
      </c>
      <c r="J867" t="s">
        <v>154</v>
      </c>
      <c r="K867" t="s">
        <v>1809</v>
      </c>
      <c r="L867" t="str">
        <f>HYPERLINK("https://business-monitor.ch/de/companies/199153-juergen-leudolph?utm_source=oberaargau","PROFIL ANSEHEN")</f>
        <v>PROFIL ANSEHEN</v>
      </c>
    </row>
    <row r="868" spans="1:12" x14ac:dyDescent="0.2">
      <c r="A868" t="s">
        <v>2008</v>
      </c>
      <c r="B868" t="s">
        <v>2009</v>
      </c>
      <c r="C868" t="s">
        <v>2010</v>
      </c>
      <c r="E868" t="s">
        <v>2011</v>
      </c>
      <c r="F868">
        <v>3376</v>
      </c>
      <c r="G868" t="s">
        <v>2012</v>
      </c>
      <c r="H868" t="s">
        <v>16</v>
      </c>
      <c r="I868" t="s">
        <v>157</v>
      </c>
      <c r="J868" t="s">
        <v>158</v>
      </c>
      <c r="K868" t="s">
        <v>1809</v>
      </c>
      <c r="L868" t="str">
        <f>HYPERLINK("https://business-monitor.ch/de/companies/186163-troesch-co?utm_source=oberaargau","PROFIL ANSEHEN")</f>
        <v>PROFIL ANSEHEN</v>
      </c>
    </row>
    <row r="869" spans="1:12" x14ac:dyDescent="0.2">
      <c r="A869" t="s">
        <v>5018</v>
      </c>
      <c r="B869" t="s">
        <v>5019</v>
      </c>
      <c r="C869" t="s">
        <v>1812</v>
      </c>
      <c r="E869" t="s">
        <v>3298</v>
      </c>
      <c r="F869">
        <v>4914</v>
      </c>
      <c r="G869" t="s">
        <v>105</v>
      </c>
      <c r="H869" t="s">
        <v>16</v>
      </c>
      <c r="I869" t="s">
        <v>642</v>
      </c>
      <c r="J869" t="s">
        <v>643</v>
      </c>
      <c r="K869" t="s">
        <v>1809</v>
      </c>
      <c r="L869" t="str">
        <f>HYPERLINK("https://business-monitor.ch/de/companies/119138-wuergler-auto?utm_source=oberaargau","PROFIL ANSEHEN")</f>
        <v>PROFIL ANSEHEN</v>
      </c>
    </row>
    <row r="870" spans="1:12" x14ac:dyDescent="0.2">
      <c r="A870" t="s">
        <v>6206</v>
      </c>
      <c r="B870" t="s">
        <v>6207</v>
      </c>
      <c r="C870" t="s">
        <v>202</v>
      </c>
      <c r="D870" t="s">
        <v>6208</v>
      </c>
      <c r="E870" t="s">
        <v>6209</v>
      </c>
      <c r="F870">
        <v>3360</v>
      </c>
      <c r="G870" t="s">
        <v>35</v>
      </c>
      <c r="H870" t="s">
        <v>16</v>
      </c>
      <c r="I870" t="s">
        <v>551</v>
      </c>
      <c r="J870" t="s">
        <v>552</v>
      </c>
      <c r="K870" t="s">
        <v>1809</v>
      </c>
      <c r="L870" t="str">
        <f>HYPERLINK("https://business-monitor.ch/de/companies/372597-fasta-gmbh?utm_source=oberaargau","PROFIL ANSEHEN")</f>
        <v>PROFIL ANSEHEN</v>
      </c>
    </row>
    <row r="871" spans="1:12" x14ac:dyDescent="0.2">
      <c r="A871" t="s">
        <v>13259</v>
      </c>
      <c r="B871" t="s">
        <v>13260</v>
      </c>
      <c r="C871" t="s">
        <v>13</v>
      </c>
      <c r="E871" t="s">
        <v>4080</v>
      </c>
      <c r="F871">
        <v>3360</v>
      </c>
      <c r="G871" t="s">
        <v>35</v>
      </c>
      <c r="H871" t="s">
        <v>16</v>
      </c>
      <c r="I871" t="s">
        <v>935</v>
      </c>
      <c r="J871" t="s">
        <v>936</v>
      </c>
      <c r="K871" t="s">
        <v>1809</v>
      </c>
      <c r="L871" t="str">
        <f>HYPERLINK("https://business-monitor.ch/de/companies/1229674-planergie-immo-ag?utm_source=oberaargau","PROFIL ANSEHEN")</f>
        <v>PROFIL ANSEHEN</v>
      </c>
    </row>
    <row r="872" spans="1:12" x14ac:dyDescent="0.2">
      <c r="A872" t="s">
        <v>8567</v>
      </c>
      <c r="B872" t="s">
        <v>8568</v>
      </c>
      <c r="C872" t="s">
        <v>202</v>
      </c>
      <c r="E872" t="s">
        <v>8569</v>
      </c>
      <c r="F872">
        <v>4952</v>
      </c>
      <c r="G872" t="s">
        <v>474</v>
      </c>
      <c r="H872" t="s">
        <v>16</v>
      </c>
      <c r="I872" t="s">
        <v>1598</v>
      </c>
      <c r="J872" t="s">
        <v>1599</v>
      </c>
      <c r="K872" t="s">
        <v>1809</v>
      </c>
      <c r="L872" t="str">
        <f>HYPERLINK("https://business-monitor.ch/de/companies/482978-metzgerei-mujo-gmbh?utm_source=oberaargau","PROFIL ANSEHEN")</f>
        <v>PROFIL ANSEHEN</v>
      </c>
    </row>
    <row r="873" spans="1:12" x14ac:dyDescent="0.2">
      <c r="A873" t="s">
        <v>7804</v>
      </c>
      <c r="B873" t="s">
        <v>7805</v>
      </c>
      <c r="C873" t="s">
        <v>1812</v>
      </c>
      <c r="E873" t="s">
        <v>5754</v>
      </c>
      <c r="F873">
        <v>4950</v>
      </c>
      <c r="G873" t="s">
        <v>15</v>
      </c>
      <c r="H873" t="s">
        <v>16</v>
      </c>
      <c r="I873" t="s">
        <v>824</v>
      </c>
      <c r="J873" t="s">
        <v>825</v>
      </c>
      <c r="K873" t="s">
        <v>1809</v>
      </c>
      <c r="L873" t="str">
        <f>HYPERLINK("https://business-monitor.ch/de/companies/544605-lounche-roche-meier?utm_source=oberaargau","PROFIL ANSEHEN")</f>
        <v>PROFIL ANSEHEN</v>
      </c>
    </row>
    <row r="874" spans="1:12" x14ac:dyDescent="0.2">
      <c r="A874" t="s">
        <v>13921</v>
      </c>
      <c r="B874" t="s">
        <v>13922</v>
      </c>
      <c r="C874" t="s">
        <v>13</v>
      </c>
      <c r="E874" t="s">
        <v>13923</v>
      </c>
      <c r="F874">
        <v>4900</v>
      </c>
      <c r="G874" t="s">
        <v>41</v>
      </c>
      <c r="H874" t="s">
        <v>16</v>
      </c>
      <c r="I874" t="s">
        <v>917</v>
      </c>
      <c r="J874" t="s">
        <v>918</v>
      </c>
      <c r="K874" t="s">
        <v>1809</v>
      </c>
      <c r="L874" t="str">
        <f>HYPERLINK("https://business-monitor.ch/de/companies/1268819-b-air-ag?utm_source=oberaargau","PROFIL ANSEHEN")</f>
        <v>PROFIL ANSEHEN</v>
      </c>
    </row>
    <row r="875" spans="1:12" x14ac:dyDescent="0.2">
      <c r="A875" t="s">
        <v>5127</v>
      </c>
      <c r="B875" t="s">
        <v>5128</v>
      </c>
      <c r="C875" t="s">
        <v>1812</v>
      </c>
      <c r="E875" t="s">
        <v>5129</v>
      </c>
      <c r="F875">
        <v>4900</v>
      </c>
      <c r="G875" t="s">
        <v>41</v>
      </c>
      <c r="H875" t="s">
        <v>16</v>
      </c>
      <c r="I875" t="s">
        <v>613</v>
      </c>
      <c r="J875" t="s">
        <v>614</v>
      </c>
      <c r="K875" t="s">
        <v>1809</v>
      </c>
      <c r="L875" t="str">
        <f>HYPERLINK("https://business-monitor.ch/de/companies/150706-velorama-daniel-buchli?utm_source=oberaargau","PROFIL ANSEHEN")</f>
        <v>PROFIL ANSEHEN</v>
      </c>
    </row>
    <row r="876" spans="1:12" x14ac:dyDescent="0.2">
      <c r="A876" t="s">
        <v>7759</v>
      </c>
      <c r="B876" t="s">
        <v>7760</v>
      </c>
      <c r="C876" t="s">
        <v>1812</v>
      </c>
      <c r="E876" t="s">
        <v>7761</v>
      </c>
      <c r="F876">
        <v>4912</v>
      </c>
      <c r="G876" t="s">
        <v>64</v>
      </c>
      <c r="H876" t="s">
        <v>16</v>
      </c>
      <c r="I876" t="s">
        <v>2231</v>
      </c>
      <c r="J876" t="s">
        <v>2232</v>
      </c>
      <c r="K876" t="s">
        <v>1809</v>
      </c>
      <c r="L876" t="str">
        <f>HYPERLINK("https://business-monitor.ch/de/companies/584439-rene-binggeli-nachfolger-peter-urwyler?utm_source=oberaargau","PROFIL ANSEHEN")</f>
        <v>PROFIL ANSEHEN</v>
      </c>
    </row>
    <row r="877" spans="1:12" x14ac:dyDescent="0.2">
      <c r="A877" t="s">
        <v>10997</v>
      </c>
      <c r="B877" t="s">
        <v>10998</v>
      </c>
      <c r="C877" t="s">
        <v>1812</v>
      </c>
      <c r="E877" t="s">
        <v>2532</v>
      </c>
      <c r="F877">
        <v>4934</v>
      </c>
      <c r="G877" t="s">
        <v>670</v>
      </c>
      <c r="H877" t="s">
        <v>16</v>
      </c>
      <c r="I877" t="s">
        <v>2569</v>
      </c>
      <c r="J877" t="s">
        <v>2570</v>
      </c>
      <c r="K877" t="s">
        <v>1809</v>
      </c>
      <c r="L877" t="str">
        <f>HYPERLINK("https://business-monitor.ch/de/companies/1115453-cascina-affolter?utm_source=oberaargau","PROFIL ANSEHEN")</f>
        <v>PROFIL ANSEHEN</v>
      </c>
    </row>
    <row r="878" spans="1:12" x14ac:dyDescent="0.2">
      <c r="A878" t="s">
        <v>7728</v>
      </c>
      <c r="B878" t="s">
        <v>7729</v>
      </c>
      <c r="C878" t="s">
        <v>13</v>
      </c>
      <c r="E878" t="s">
        <v>6372</v>
      </c>
      <c r="F878">
        <v>4900</v>
      </c>
      <c r="G878" t="s">
        <v>41</v>
      </c>
      <c r="H878" t="s">
        <v>16</v>
      </c>
      <c r="I878" t="s">
        <v>1855</v>
      </c>
      <c r="J878" t="s">
        <v>1856</v>
      </c>
      <c r="K878" t="s">
        <v>1809</v>
      </c>
      <c r="L878" t="str">
        <f>HYPERLINK("https://business-monitor.ch/de/companies/593404-beautylux-ag?utm_source=oberaargau","PROFIL ANSEHEN")</f>
        <v>PROFIL ANSEHEN</v>
      </c>
    </row>
    <row r="879" spans="1:12" x14ac:dyDescent="0.2">
      <c r="A879" t="s">
        <v>3647</v>
      </c>
      <c r="B879" t="s">
        <v>3648</v>
      </c>
      <c r="C879" t="s">
        <v>202</v>
      </c>
      <c r="E879" t="s">
        <v>3649</v>
      </c>
      <c r="F879">
        <v>3380</v>
      </c>
      <c r="G879" t="s">
        <v>29</v>
      </c>
      <c r="H879" t="s">
        <v>16</v>
      </c>
      <c r="I879" t="s">
        <v>326</v>
      </c>
      <c r="J879" t="s">
        <v>327</v>
      </c>
      <c r="K879" t="s">
        <v>1809</v>
      </c>
      <c r="L879" t="str">
        <f>HYPERLINK("https://business-monitor.ch/de/companies/65399-yopa-gmbh?utm_source=oberaargau","PROFIL ANSEHEN")</f>
        <v>PROFIL ANSEHEN</v>
      </c>
    </row>
    <row r="880" spans="1:12" x14ac:dyDescent="0.2">
      <c r="A880" t="s">
        <v>10659</v>
      </c>
      <c r="B880" t="s">
        <v>10660</v>
      </c>
      <c r="C880" t="s">
        <v>1812</v>
      </c>
      <c r="E880" t="s">
        <v>10661</v>
      </c>
      <c r="F880">
        <v>4537</v>
      </c>
      <c r="G880" t="s">
        <v>113</v>
      </c>
      <c r="H880" t="s">
        <v>16</v>
      </c>
      <c r="I880" t="s">
        <v>824</v>
      </c>
      <c r="J880" t="s">
        <v>825</v>
      </c>
      <c r="K880" t="s">
        <v>1809</v>
      </c>
      <c r="L880" t="str">
        <f>HYPERLINK("https://business-monitor.ch/de/companies/1073302-d-anderegg-kilchenmann?utm_source=oberaargau","PROFIL ANSEHEN")</f>
        <v>PROFIL ANSEHEN</v>
      </c>
    </row>
    <row r="881" spans="1:12" x14ac:dyDescent="0.2">
      <c r="A881" t="s">
        <v>11936</v>
      </c>
      <c r="B881" t="s">
        <v>11937</v>
      </c>
      <c r="C881" t="s">
        <v>202</v>
      </c>
      <c r="E881" t="s">
        <v>9534</v>
      </c>
      <c r="F881">
        <v>4537</v>
      </c>
      <c r="G881" t="s">
        <v>113</v>
      </c>
      <c r="H881" t="s">
        <v>16</v>
      </c>
      <c r="I881" t="s">
        <v>772</v>
      </c>
      <c r="J881" t="s">
        <v>773</v>
      </c>
      <c r="K881" t="s">
        <v>1809</v>
      </c>
      <c r="L881" t="str">
        <f>HYPERLINK("https://business-monitor.ch/de/companies/635345-live-reinigung-gmbh?utm_source=oberaargau","PROFIL ANSEHEN")</f>
        <v>PROFIL ANSEHEN</v>
      </c>
    </row>
    <row r="882" spans="1:12" x14ac:dyDescent="0.2">
      <c r="A882" t="s">
        <v>7067</v>
      </c>
      <c r="B882" t="s">
        <v>7068</v>
      </c>
      <c r="C882" t="s">
        <v>1812</v>
      </c>
      <c r="E882" t="s">
        <v>4339</v>
      </c>
      <c r="F882">
        <v>4900</v>
      </c>
      <c r="G882" t="s">
        <v>41</v>
      </c>
      <c r="H882" t="s">
        <v>16</v>
      </c>
      <c r="I882" t="s">
        <v>3850</v>
      </c>
      <c r="J882" t="s">
        <v>3851</v>
      </c>
      <c r="K882" t="s">
        <v>1809</v>
      </c>
      <c r="L882" t="str">
        <f>HYPERLINK("https://business-monitor.ch/de/companies/605302-cascade-ch-hurst?utm_source=oberaargau","PROFIL ANSEHEN")</f>
        <v>PROFIL ANSEHEN</v>
      </c>
    </row>
    <row r="883" spans="1:12" x14ac:dyDescent="0.2">
      <c r="A883" t="s">
        <v>11139</v>
      </c>
      <c r="B883" t="s">
        <v>11140</v>
      </c>
      <c r="C883" t="s">
        <v>1812</v>
      </c>
      <c r="E883" t="s">
        <v>11141</v>
      </c>
      <c r="F883">
        <v>3372</v>
      </c>
      <c r="G883" t="s">
        <v>2120</v>
      </c>
      <c r="H883" t="s">
        <v>16</v>
      </c>
      <c r="I883" t="s">
        <v>642</v>
      </c>
      <c r="J883" t="s">
        <v>643</v>
      </c>
      <c r="K883" t="s">
        <v>1809</v>
      </c>
      <c r="L883" t="str">
        <f>HYPERLINK("https://business-monitor.ch/de/companies/1119255-autogarage-tsako-inh-tmusic?utm_source=oberaargau","PROFIL ANSEHEN")</f>
        <v>PROFIL ANSEHEN</v>
      </c>
    </row>
    <row r="884" spans="1:12" x14ac:dyDescent="0.2">
      <c r="A884" t="s">
        <v>8274</v>
      </c>
      <c r="B884" t="s">
        <v>8275</v>
      </c>
      <c r="C884" t="s">
        <v>1812</v>
      </c>
      <c r="E884" t="s">
        <v>8276</v>
      </c>
      <c r="F884">
        <v>4704</v>
      </c>
      <c r="G884" t="s">
        <v>221</v>
      </c>
      <c r="H884" t="s">
        <v>16</v>
      </c>
      <c r="I884" t="s">
        <v>824</v>
      </c>
      <c r="J884" t="s">
        <v>825</v>
      </c>
      <c r="K884" t="s">
        <v>1809</v>
      </c>
      <c r="L884" t="str">
        <f>HYPERLINK("https://business-monitor.ch/de/companies/1078292-anton-gega-gasthof-brauerei?utm_source=oberaargau","PROFIL ANSEHEN")</f>
        <v>PROFIL ANSEHEN</v>
      </c>
    </row>
    <row r="885" spans="1:12" x14ac:dyDescent="0.2">
      <c r="A885" t="s">
        <v>7911</v>
      </c>
      <c r="B885" t="s">
        <v>7912</v>
      </c>
      <c r="C885" t="s">
        <v>13</v>
      </c>
      <c r="E885" t="s">
        <v>4640</v>
      </c>
      <c r="F885">
        <v>4900</v>
      </c>
      <c r="G885" t="s">
        <v>41</v>
      </c>
      <c r="H885" t="s">
        <v>16</v>
      </c>
      <c r="I885" t="s">
        <v>420</v>
      </c>
      <c r="J885" t="s">
        <v>421</v>
      </c>
      <c r="K885" t="s">
        <v>1809</v>
      </c>
      <c r="L885" t="str">
        <f>HYPERLINK("https://business-monitor.ch/de/companies/407405-boesiger-motorsport-ag?utm_source=oberaargau","PROFIL ANSEHEN")</f>
        <v>PROFIL ANSEHEN</v>
      </c>
    </row>
    <row r="886" spans="1:12" x14ac:dyDescent="0.2">
      <c r="A886" t="s">
        <v>11288</v>
      </c>
      <c r="B886" t="s">
        <v>11289</v>
      </c>
      <c r="C886" t="s">
        <v>1922</v>
      </c>
      <c r="D886" t="s">
        <v>5218</v>
      </c>
      <c r="E886" t="s">
        <v>5219</v>
      </c>
      <c r="F886">
        <v>4900</v>
      </c>
      <c r="G886" t="s">
        <v>41</v>
      </c>
      <c r="H886" t="s">
        <v>16</v>
      </c>
      <c r="I886" t="s">
        <v>3272</v>
      </c>
      <c r="J886" t="s">
        <v>3273</v>
      </c>
      <c r="K886" t="s">
        <v>1809</v>
      </c>
      <c r="L886" t="str">
        <f>HYPERLINK("https://business-monitor.ch/de/companies/1130992-fondation-romains11-36?utm_source=oberaargau","PROFIL ANSEHEN")</f>
        <v>PROFIL ANSEHEN</v>
      </c>
    </row>
    <row r="887" spans="1:12" x14ac:dyDescent="0.2">
      <c r="A887" t="s">
        <v>2349</v>
      </c>
      <c r="B887" t="s">
        <v>5466</v>
      </c>
      <c r="C887" t="s">
        <v>1812</v>
      </c>
      <c r="E887" t="s">
        <v>5467</v>
      </c>
      <c r="F887">
        <v>4912</v>
      </c>
      <c r="G887" t="s">
        <v>64</v>
      </c>
      <c r="H887" t="s">
        <v>16</v>
      </c>
      <c r="I887" t="s">
        <v>5468</v>
      </c>
      <c r="J887" t="s">
        <v>5469</v>
      </c>
      <c r="K887" t="s">
        <v>1809</v>
      </c>
      <c r="L887" t="str">
        <f>HYPERLINK("https://business-monitor.ch/de/companies/189317-e-kyburz?utm_source=oberaargau","PROFIL ANSEHEN")</f>
        <v>PROFIL ANSEHEN</v>
      </c>
    </row>
    <row r="888" spans="1:12" x14ac:dyDescent="0.2">
      <c r="A888" t="s">
        <v>4731</v>
      </c>
      <c r="B888" t="s">
        <v>4732</v>
      </c>
      <c r="C888" t="s">
        <v>202</v>
      </c>
      <c r="E888" t="s">
        <v>4733</v>
      </c>
      <c r="F888">
        <v>4923</v>
      </c>
      <c r="G888" t="s">
        <v>732</v>
      </c>
      <c r="H888" t="s">
        <v>16</v>
      </c>
      <c r="I888" t="s">
        <v>733</v>
      </c>
      <c r="J888" t="s">
        <v>734</v>
      </c>
      <c r="K888" t="s">
        <v>1809</v>
      </c>
      <c r="L888" t="str">
        <f>HYPERLINK("https://business-monitor.ch/de/companies/586942-beciri-automobile-gmbh?utm_source=oberaargau","PROFIL ANSEHEN")</f>
        <v>PROFIL ANSEHEN</v>
      </c>
    </row>
    <row r="889" spans="1:12" x14ac:dyDescent="0.2">
      <c r="A889" t="s">
        <v>6370</v>
      </c>
      <c r="B889" t="s">
        <v>6371</v>
      </c>
      <c r="C889" t="s">
        <v>1812</v>
      </c>
      <c r="E889" t="s">
        <v>6372</v>
      </c>
      <c r="F889">
        <v>4900</v>
      </c>
      <c r="G889" t="s">
        <v>41</v>
      </c>
      <c r="H889" t="s">
        <v>16</v>
      </c>
      <c r="I889" t="s">
        <v>4247</v>
      </c>
      <c r="J889" t="s">
        <v>4248</v>
      </c>
      <c r="K889" t="s">
        <v>1809</v>
      </c>
      <c r="L889" t="str">
        <f>HYPERLINK("https://business-monitor.ch/de/companies/308181-institut-fuer-forensische-psychiatrie-und-psychotherapie-ifpp-dr-med-buenyamin-i-yasmin?utm_source=oberaargau","PROFIL ANSEHEN")</f>
        <v>PROFIL ANSEHEN</v>
      </c>
    </row>
    <row r="890" spans="1:12" x14ac:dyDescent="0.2">
      <c r="A890" t="s">
        <v>14075</v>
      </c>
      <c r="B890" t="s">
        <v>14076</v>
      </c>
      <c r="C890" t="s">
        <v>202</v>
      </c>
      <c r="D890" t="s">
        <v>14077</v>
      </c>
      <c r="E890" t="s">
        <v>14078</v>
      </c>
      <c r="F890">
        <v>4922</v>
      </c>
      <c r="G890" t="s">
        <v>1318</v>
      </c>
      <c r="H890" t="s">
        <v>16</v>
      </c>
      <c r="I890" t="s">
        <v>935</v>
      </c>
      <c r="J890" t="s">
        <v>936</v>
      </c>
      <c r="K890" t="s">
        <v>1809</v>
      </c>
      <c r="L890" t="str">
        <f>HYPERLINK("https://business-monitor.ch/de/companies/1272691-egger-global-immo-gmbh?utm_source=oberaargau","PROFIL ANSEHEN")</f>
        <v>PROFIL ANSEHEN</v>
      </c>
    </row>
    <row r="891" spans="1:12" x14ac:dyDescent="0.2">
      <c r="A891" t="s">
        <v>10331</v>
      </c>
      <c r="B891" t="s">
        <v>10332</v>
      </c>
      <c r="C891" t="s">
        <v>202</v>
      </c>
      <c r="E891" t="s">
        <v>10333</v>
      </c>
      <c r="F891">
        <v>4950</v>
      </c>
      <c r="G891" t="s">
        <v>15</v>
      </c>
      <c r="H891" t="s">
        <v>16</v>
      </c>
      <c r="I891" t="s">
        <v>2440</v>
      </c>
      <c r="J891" t="s">
        <v>2441</v>
      </c>
      <c r="K891" t="s">
        <v>1809</v>
      </c>
      <c r="L891" t="str">
        <f>HYPERLINK("https://business-monitor.ch/de/companies/548590-multibau-huttu-gmbh?utm_source=oberaargau","PROFIL ANSEHEN")</f>
        <v>PROFIL ANSEHEN</v>
      </c>
    </row>
    <row r="892" spans="1:12" x14ac:dyDescent="0.2">
      <c r="A892" t="s">
        <v>9485</v>
      </c>
      <c r="B892" t="s">
        <v>9486</v>
      </c>
      <c r="C892" t="s">
        <v>2178</v>
      </c>
      <c r="E892" t="s">
        <v>9487</v>
      </c>
      <c r="F892">
        <v>4923</v>
      </c>
      <c r="G892" t="s">
        <v>732</v>
      </c>
      <c r="H892" t="s">
        <v>16</v>
      </c>
      <c r="I892" t="s">
        <v>232</v>
      </c>
      <c r="J892" t="s">
        <v>233</v>
      </c>
      <c r="K892" t="s">
        <v>1809</v>
      </c>
      <c r="L892" t="str">
        <f>HYPERLINK("https://business-monitor.ch/de/companies/950297-lemag-treuhand-partner-ag-zweigniederlassung-wynau?utm_source=oberaargau","PROFIL ANSEHEN")</f>
        <v>PROFIL ANSEHEN</v>
      </c>
    </row>
    <row r="893" spans="1:12" x14ac:dyDescent="0.2">
      <c r="A893" t="s">
        <v>14236</v>
      </c>
      <c r="B893" t="s">
        <v>14237</v>
      </c>
      <c r="C893" t="s">
        <v>1827</v>
      </c>
      <c r="E893" t="s">
        <v>3298</v>
      </c>
      <c r="F893">
        <v>4914</v>
      </c>
      <c r="G893" t="s">
        <v>105</v>
      </c>
      <c r="H893" t="s">
        <v>16</v>
      </c>
      <c r="I893" t="s">
        <v>824</v>
      </c>
      <c r="J893" t="s">
        <v>825</v>
      </c>
      <c r="K893" t="s">
        <v>1809</v>
      </c>
      <c r="L893" t="str">
        <f>HYPERLINK("https://business-monitor.ch/de/companies/1284308-gastro-meister-klg?utm_source=oberaargau","PROFIL ANSEHEN")</f>
        <v>PROFIL ANSEHEN</v>
      </c>
    </row>
    <row r="894" spans="1:12" x14ac:dyDescent="0.2">
      <c r="A894" t="s">
        <v>8363</v>
      </c>
      <c r="B894" t="s">
        <v>8364</v>
      </c>
      <c r="C894" t="s">
        <v>1812</v>
      </c>
      <c r="E894" t="s">
        <v>8365</v>
      </c>
      <c r="F894">
        <v>4900</v>
      </c>
      <c r="G894" t="s">
        <v>41</v>
      </c>
      <c r="H894" t="s">
        <v>16</v>
      </c>
      <c r="I894" t="s">
        <v>2244</v>
      </c>
      <c r="J894" t="s">
        <v>2245</v>
      </c>
      <c r="K894" t="s">
        <v>1809</v>
      </c>
      <c r="L894" t="str">
        <f>HYPERLINK("https://business-monitor.ch/de/companies/180724-esbest-medical-supply-esther-stoller?utm_source=oberaargau","PROFIL ANSEHEN")</f>
        <v>PROFIL ANSEHEN</v>
      </c>
    </row>
    <row r="895" spans="1:12" x14ac:dyDescent="0.2">
      <c r="A895" t="s">
        <v>4438</v>
      </c>
      <c r="B895" t="s">
        <v>4439</v>
      </c>
      <c r="C895" t="s">
        <v>202</v>
      </c>
      <c r="E895" t="s">
        <v>4440</v>
      </c>
      <c r="F895">
        <v>4914</v>
      </c>
      <c r="G895" t="s">
        <v>105</v>
      </c>
      <c r="H895" t="s">
        <v>16</v>
      </c>
      <c r="I895" t="s">
        <v>186</v>
      </c>
      <c r="J895" t="s">
        <v>187</v>
      </c>
      <c r="K895" t="s">
        <v>1809</v>
      </c>
      <c r="L895" t="str">
        <f>HYPERLINK("https://business-monitor.ch/de/companies/927929-hazienda21-gmbh?utm_source=oberaargau","PROFIL ANSEHEN")</f>
        <v>PROFIL ANSEHEN</v>
      </c>
    </row>
    <row r="896" spans="1:12" x14ac:dyDescent="0.2">
      <c r="A896" t="s">
        <v>4660</v>
      </c>
      <c r="B896" t="s">
        <v>4661</v>
      </c>
      <c r="C896" t="s">
        <v>202</v>
      </c>
      <c r="E896" t="s">
        <v>1509</v>
      </c>
      <c r="F896">
        <v>4900</v>
      </c>
      <c r="G896" t="s">
        <v>41</v>
      </c>
      <c r="H896" t="s">
        <v>16</v>
      </c>
      <c r="I896" t="s">
        <v>624</v>
      </c>
      <c r="J896" t="s">
        <v>625</v>
      </c>
      <c r="K896" t="s">
        <v>1809</v>
      </c>
      <c r="L896" t="str">
        <f>HYPERLINK("https://business-monitor.ch/de/companies/617114-david-mueller-gmbh?utm_source=oberaargau","PROFIL ANSEHEN")</f>
        <v>PROFIL ANSEHEN</v>
      </c>
    </row>
    <row r="897" spans="1:12" x14ac:dyDescent="0.2">
      <c r="A897" t="s">
        <v>3208</v>
      </c>
      <c r="B897" t="s">
        <v>3209</v>
      </c>
      <c r="C897" t="s">
        <v>202</v>
      </c>
      <c r="E897" t="s">
        <v>3210</v>
      </c>
      <c r="F897">
        <v>4923</v>
      </c>
      <c r="G897" t="s">
        <v>732</v>
      </c>
      <c r="H897" t="s">
        <v>16</v>
      </c>
      <c r="I897" t="s">
        <v>551</v>
      </c>
      <c r="J897" t="s">
        <v>552</v>
      </c>
      <c r="K897" t="s">
        <v>1809</v>
      </c>
      <c r="L897" t="str">
        <f>HYPERLINK("https://business-monitor.ch/de/companies/278474-print-gate-gmbh?utm_source=oberaargau","PROFIL ANSEHEN")</f>
        <v>PROFIL ANSEHEN</v>
      </c>
    </row>
    <row r="898" spans="1:12" x14ac:dyDescent="0.2">
      <c r="A898" t="s">
        <v>8301</v>
      </c>
      <c r="B898" t="s">
        <v>8302</v>
      </c>
      <c r="C898" t="s">
        <v>202</v>
      </c>
      <c r="E898" t="s">
        <v>722</v>
      </c>
      <c r="F898">
        <v>4950</v>
      </c>
      <c r="G898" t="s">
        <v>15</v>
      </c>
      <c r="H898" t="s">
        <v>16</v>
      </c>
      <c r="I898" t="s">
        <v>8303</v>
      </c>
      <c r="J898" t="s">
        <v>8304</v>
      </c>
      <c r="K898" t="s">
        <v>1809</v>
      </c>
      <c r="L898" t="str">
        <f>HYPERLINK("https://business-monitor.ch/de/companies/505957-holz-pool-gmbh?utm_source=oberaargau","PROFIL ANSEHEN")</f>
        <v>PROFIL ANSEHEN</v>
      </c>
    </row>
    <row r="899" spans="1:12" x14ac:dyDescent="0.2">
      <c r="A899" t="s">
        <v>14153</v>
      </c>
      <c r="B899" t="s">
        <v>14154</v>
      </c>
      <c r="C899" t="s">
        <v>1812</v>
      </c>
      <c r="E899" t="s">
        <v>2890</v>
      </c>
      <c r="F899">
        <v>4950</v>
      </c>
      <c r="G899" t="s">
        <v>15</v>
      </c>
      <c r="H899" t="s">
        <v>16</v>
      </c>
      <c r="I899" t="s">
        <v>629</v>
      </c>
      <c r="J899" t="s">
        <v>630</v>
      </c>
      <c r="K899" t="s">
        <v>1809</v>
      </c>
      <c r="L899" t="str">
        <f>HYPERLINK("https://business-monitor.ch/de/companies/307304-tusk-restaurant-bar-and-lounge-inh-ajebon?utm_source=oberaargau","PROFIL ANSEHEN")</f>
        <v>PROFIL ANSEHEN</v>
      </c>
    </row>
    <row r="900" spans="1:12" x14ac:dyDescent="0.2">
      <c r="A900" t="s">
        <v>5793</v>
      </c>
      <c r="B900" t="s">
        <v>5794</v>
      </c>
      <c r="C900" t="s">
        <v>202</v>
      </c>
      <c r="E900" t="s">
        <v>5795</v>
      </c>
      <c r="F900">
        <v>4914</v>
      </c>
      <c r="G900" t="s">
        <v>105</v>
      </c>
      <c r="H900" t="s">
        <v>16</v>
      </c>
      <c r="I900" t="s">
        <v>186</v>
      </c>
      <c r="J900" t="s">
        <v>187</v>
      </c>
      <c r="K900" t="s">
        <v>1809</v>
      </c>
      <c r="L900" t="str">
        <f>HYPERLINK("https://business-monitor.ch/de/companies/647139-oliver-meyer-beteiligungs-gmbh?utm_source=oberaargau","PROFIL ANSEHEN")</f>
        <v>PROFIL ANSEHEN</v>
      </c>
    </row>
    <row r="901" spans="1:12" x14ac:dyDescent="0.2">
      <c r="A901" t="s">
        <v>2471</v>
      </c>
      <c r="B901" t="s">
        <v>11853</v>
      </c>
      <c r="C901" t="s">
        <v>202</v>
      </c>
      <c r="E901" t="s">
        <v>2266</v>
      </c>
      <c r="F901">
        <v>4950</v>
      </c>
      <c r="G901" t="s">
        <v>15</v>
      </c>
      <c r="H901" t="s">
        <v>16</v>
      </c>
      <c r="I901" t="s">
        <v>153</v>
      </c>
      <c r="J901" t="s">
        <v>154</v>
      </c>
      <c r="K901" t="s">
        <v>1809</v>
      </c>
      <c r="L901" t="str">
        <f>HYPERLINK("https://business-monitor.ch/de/companies/483692-buessliwerkstatt-gmbh?utm_source=oberaargau","PROFIL ANSEHEN")</f>
        <v>PROFIL ANSEHEN</v>
      </c>
    </row>
    <row r="902" spans="1:12" x14ac:dyDescent="0.2">
      <c r="A902" t="s">
        <v>7276</v>
      </c>
      <c r="B902" t="s">
        <v>7277</v>
      </c>
      <c r="C902" t="s">
        <v>1827</v>
      </c>
      <c r="E902" t="s">
        <v>7278</v>
      </c>
      <c r="F902">
        <v>4950</v>
      </c>
      <c r="G902" t="s">
        <v>15</v>
      </c>
      <c r="H902" t="s">
        <v>16</v>
      </c>
      <c r="I902" t="s">
        <v>433</v>
      </c>
      <c r="J902" t="s">
        <v>434</v>
      </c>
      <c r="K902" t="s">
        <v>1809</v>
      </c>
      <c r="L902" t="str">
        <f>HYPERLINK("https://business-monitor.ch/de/companies/1013957-p-f-event-klg?utm_source=oberaargau","PROFIL ANSEHEN")</f>
        <v>PROFIL ANSEHEN</v>
      </c>
    </row>
    <row r="903" spans="1:12" x14ac:dyDescent="0.2">
      <c r="A903" t="s">
        <v>7892</v>
      </c>
      <c r="B903" t="s">
        <v>7893</v>
      </c>
      <c r="C903" t="s">
        <v>13</v>
      </c>
      <c r="D903" t="s">
        <v>5271</v>
      </c>
      <c r="E903" t="s">
        <v>4467</v>
      </c>
      <c r="F903">
        <v>4900</v>
      </c>
      <c r="G903" t="s">
        <v>41</v>
      </c>
      <c r="H903" t="s">
        <v>16</v>
      </c>
      <c r="I903" t="s">
        <v>3861</v>
      </c>
      <c r="J903" t="s">
        <v>3862</v>
      </c>
      <c r="K903" t="s">
        <v>1809</v>
      </c>
      <c r="L903" t="str">
        <f>HYPERLINK("https://business-monitor.ch/de/companies/1026892-nzo-tra-ag?utm_source=oberaargau","PROFIL ANSEHEN")</f>
        <v>PROFIL ANSEHEN</v>
      </c>
    </row>
    <row r="904" spans="1:12" x14ac:dyDescent="0.2">
      <c r="A904" t="s">
        <v>11403</v>
      </c>
      <c r="B904" t="s">
        <v>11404</v>
      </c>
      <c r="C904" t="s">
        <v>202</v>
      </c>
      <c r="E904" t="s">
        <v>11405</v>
      </c>
      <c r="F904">
        <v>4935</v>
      </c>
      <c r="G904" t="s">
        <v>443</v>
      </c>
      <c r="H904" t="s">
        <v>16</v>
      </c>
      <c r="I904" t="s">
        <v>260</v>
      </c>
      <c r="J904" t="s">
        <v>261</v>
      </c>
      <c r="K904" t="s">
        <v>1809</v>
      </c>
      <c r="L904" t="str">
        <f>HYPERLINK("https://business-monitor.ch/de/companies/1133892-bernhard-architektur-gmbh?utm_source=oberaargau","PROFIL ANSEHEN")</f>
        <v>PROFIL ANSEHEN</v>
      </c>
    </row>
    <row r="905" spans="1:12" x14ac:dyDescent="0.2">
      <c r="A905" t="s">
        <v>5287</v>
      </c>
      <c r="B905" t="s">
        <v>5288</v>
      </c>
      <c r="C905" t="s">
        <v>202</v>
      </c>
      <c r="E905" t="s">
        <v>4698</v>
      </c>
      <c r="F905">
        <v>4934</v>
      </c>
      <c r="G905" t="s">
        <v>670</v>
      </c>
      <c r="H905" t="s">
        <v>16</v>
      </c>
      <c r="I905" t="s">
        <v>845</v>
      </c>
      <c r="J905" t="s">
        <v>846</v>
      </c>
      <c r="K905" t="s">
        <v>1809</v>
      </c>
      <c r="L905" t="str">
        <f>HYPERLINK("https://business-monitor.ch/de/companies/435317-ralf-schadt-pflaesterungen-gmbh?utm_source=oberaargau","PROFIL ANSEHEN")</f>
        <v>PROFIL ANSEHEN</v>
      </c>
    </row>
    <row r="906" spans="1:12" x14ac:dyDescent="0.2">
      <c r="A906" t="s">
        <v>2851</v>
      </c>
      <c r="B906" t="s">
        <v>2852</v>
      </c>
      <c r="C906" t="s">
        <v>202</v>
      </c>
      <c r="E906" t="s">
        <v>2853</v>
      </c>
      <c r="F906">
        <v>4936</v>
      </c>
      <c r="G906" t="s">
        <v>768</v>
      </c>
      <c r="H906" t="s">
        <v>16</v>
      </c>
      <c r="I906" t="s">
        <v>1097</v>
      </c>
      <c r="J906" t="s">
        <v>1098</v>
      </c>
      <c r="K906" t="s">
        <v>1809</v>
      </c>
      <c r="L906" t="str">
        <f>HYPERLINK("https://business-monitor.ch/de/companies/570049-sr-erotec-schweiz-gmbh?utm_source=oberaargau","PROFIL ANSEHEN")</f>
        <v>PROFIL ANSEHEN</v>
      </c>
    </row>
    <row r="907" spans="1:12" x14ac:dyDescent="0.2">
      <c r="A907" t="s">
        <v>7913</v>
      </c>
      <c r="B907" t="s">
        <v>7914</v>
      </c>
      <c r="C907" t="s">
        <v>1812</v>
      </c>
      <c r="D907" t="s">
        <v>7915</v>
      </c>
      <c r="E907" t="s">
        <v>7916</v>
      </c>
      <c r="F907">
        <v>3362</v>
      </c>
      <c r="G907" t="s">
        <v>47</v>
      </c>
      <c r="H907" t="s">
        <v>16</v>
      </c>
      <c r="I907" t="s">
        <v>3864</v>
      </c>
      <c r="J907" t="s">
        <v>3865</v>
      </c>
      <c r="K907" t="s">
        <v>1809</v>
      </c>
      <c r="L907" t="str">
        <f>HYPERLINK("https://business-monitor.ch/de/companies/1063426-stefanie-schneeberger?utm_source=oberaargau","PROFIL ANSEHEN")</f>
        <v>PROFIL ANSEHEN</v>
      </c>
    </row>
    <row r="908" spans="1:12" x14ac:dyDescent="0.2">
      <c r="A908" t="s">
        <v>2721</v>
      </c>
      <c r="B908" t="s">
        <v>2722</v>
      </c>
      <c r="C908" t="s">
        <v>202</v>
      </c>
      <c r="E908" t="s">
        <v>2723</v>
      </c>
      <c r="F908">
        <v>4914</v>
      </c>
      <c r="G908" t="s">
        <v>105</v>
      </c>
      <c r="H908" t="s">
        <v>16</v>
      </c>
      <c r="I908" t="s">
        <v>642</v>
      </c>
      <c r="J908" t="s">
        <v>643</v>
      </c>
      <c r="K908" t="s">
        <v>1809</v>
      </c>
      <c r="L908" t="str">
        <f>HYPERLINK("https://business-monitor.ch/de/companies/1072916-fat-mike-motors-gmbh?utm_source=oberaargau","PROFIL ANSEHEN")</f>
        <v>PROFIL ANSEHEN</v>
      </c>
    </row>
    <row r="909" spans="1:12" x14ac:dyDescent="0.2">
      <c r="A909" t="s">
        <v>13168</v>
      </c>
      <c r="B909" t="s">
        <v>13169</v>
      </c>
      <c r="C909" t="s">
        <v>1812</v>
      </c>
      <c r="E909" t="s">
        <v>8313</v>
      </c>
      <c r="F909">
        <v>4704</v>
      </c>
      <c r="G909" t="s">
        <v>221</v>
      </c>
      <c r="H909" t="s">
        <v>16</v>
      </c>
      <c r="I909" t="s">
        <v>551</v>
      </c>
      <c r="J909" t="s">
        <v>552</v>
      </c>
      <c r="K909" t="s">
        <v>1809</v>
      </c>
      <c r="L909" t="str">
        <f>HYPERLINK("https://business-monitor.ch/de/companies/950502-denise-galasso-coaching?utm_source=oberaargau","PROFIL ANSEHEN")</f>
        <v>PROFIL ANSEHEN</v>
      </c>
    </row>
    <row r="910" spans="1:12" x14ac:dyDescent="0.2">
      <c r="A910" t="s">
        <v>6294</v>
      </c>
      <c r="B910" t="s">
        <v>6295</v>
      </c>
      <c r="C910" t="s">
        <v>1812</v>
      </c>
      <c r="E910" t="s">
        <v>6296</v>
      </c>
      <c r="F910">
        <v>4912</v>
      </c>
      <c r="G910" t="s">
        <v>64</v>
      </c>
      <c r="H910" t="s">
        <v>16</v>
      </c>
      <c r="I910" t="s">
        <v>3201</v>
      </c>
      <c r="J910" t="s">
        <v>3202</v>
      </c>
      <c r="K910" t="s">
        <v>1809</v>
      </c>
      <c r="L910" t="str">
        <f>HYPERLINK("https://business-monitor.ch/de/companies/338740-christen-modelleisenbahn-und-bahnsupport?utm_source=oberaargau","PROFIL ANSEHEN")</f>
        <v>PROFIL ANSEHEN</v>
      </c>
    </row>
    <row r="911" spans="1:12" x14ac:dyDescent="0.2">
      <c r="A911" t="s">
        <v>8187</v>
      </c>
      <c r="B911" t="s">
        <v>8188</v>
      </c>
      <c r="C911" t="s">
        <v>1812</v>
      </c>
      <c r="E911" t="s">
        <v>8189</v>
      </c>
      <c r="F911">
        <v>4704</v>
      </c>
      <c r="G911" t="s">
        <v>221</v>
      </c>
      <c r="H911" t="s">
        <v>16</v>
      </c>
      <c r="I911" t="s">
        <v>2067</v>
      </c>
      <c r="J911" t="s">
        <v>2068</v>
      </c>
      <c r="K911" t="s">
        <v>1809</v>
      </c>
      <c r="L911" t="str">
        <f>HYPERLINK("https://business-monitor.ch/de/companies/173624-kalt-kundenmaurer-und-gipserei?utm_source=oberaargau","PROFIL ANSEHEN")</f>
        <v>PROFIL ANSEHEN</v>
      </c>
    </row>
    <row r="912" spans="1:12" x14ac:dyDescent="0.2">
      <c r="A912" t="s">
        <v>6183</v>
      </c>
      <c r="B912" t="s">
        <v>6184</v>
      </c>
      <c r="C912" t="s">
        <v>13</v>
      </c>
      <c r="E912" t="s">
        <v>6185</v>
      </c>
      <c r="F912">
        <v>4704</v>
      </c>
      <c r="G912" t="s">
        <v>221</v>
      </c>
      <c r="H912" t="s">
        <v>16</v>
      </c>
      <c r="I912" t="s">
        <v>906</v>
      </c>
      <c r="J912" t="s">
        <v>907</v>
      </c>
      <c r="K912" t="s">
        <v>1809</v>
      </c>
      <c r="L912" t="str">
        <f>HYPERLINK("https://business-monitor.ch/de/companies/1063775-zive-ag?utm_source=oberaargau","PROFIL ANSEHEN")</f>
        <v>PROFIL ANSEHEN</v>
      </c>
    </row>
    <row r="913" spans="1:12" x14ac:dyDescent="0.2">
      <c r="A913" t="s">
        <v>13755</v>
      </c>
      <c r="B913" t="s">
        <v>13756</v>
      </c>
      <c r="C913" t="s">
        <v>1812</v>
      </c>
      <c r="E913" t="s">
        <v>13757</v>
      </c>
      <c r="F913">
        <v>4932</v>
      </c>
      <c r="G913" t="s">
        <v>325</v>
      </c>
      <c r="H913" t="s">
        <v>16</v>
      </c>
      <c r="I913" t="s">
        <v>1865</v>
      </c>
      <c r="J913" t="s">
        <v>1866</v>
      </c>
      <c r="K913" t="s">
        <v>1809</v>
      </c>
      <c r="L913" t="str">
        <f>HYPERLINK("https://business-monitor.ch/de/companies/1257106-weyermann-services?utm_source=oberaargau","PROFIL ANSEHEN")</f>
        <v>PROFIL ANSEHEN</v>
      </c>
    </row>
    <row r="914" spans="1:12" x14ac:dyDescent="0.2">
      <c r="A914" t="s">
        <v>10087</v>
      </c>
      <c r="B914" t="s">
        <v>10088</v>
      </c>
      <c r="C914" t="s">
        <v>13</v>
      </c>
      <c r="E914" t="s">
        <v>10089</v>
      </c>
      <c r="F914">
        <v>3372</v>
      </c>
      <c r="G914" t="s">
        <v>2120</v>
      </c>
      <c r="H914" t="s">
        <v>16</v>
      </c>
      <c r="I914" t="s">
        <v>157</v>
      </c>
      <c r="J914" t="s">
        <v>158</v>
      </c>
      <c r="K914" t="s">
        <v>1809</v>
      </c>
      <c r="L914" t="str">
        <f>HYPERLINK("https://business-monitor.ch/de/companies/684702-c-h-immo-ag?utm_source=oberaargau","PROFIL ANSEHEN")</f>
        <v>PROFIL ANSEHEN</v>
      </c>
    </row>
    <row r="915" spans="1:12" x14ac:dyDescent="0.2">
      <c r="A915" t="s">
        <v>10260</v>
      </c>
      <c r="B915" t="s">
        <v>10261</v>
      </c>
      <c r="C915" t="s">
        <v>1812</v>
      </c>
      <c r="E915" t="s">
        <v>10262</v>
      </c>
      <c r="F915">
        <v>4536</v>
      </c>
      <c r="G915" t="s">
        <v>1395</v>
      </c>
      <c r="H915" t="s">
        <v>16</v>
      </c>
      <c r="I915" t="s">
        <v>10263</v>
      </c>
      <c r="J915" t="s">
        <v>10264</v>
      </c>
      <c r="K915" t="s">
        <v>1809</v>
      </c>
      <c r="L915" t="str">
        <f>HYPERLINK("https://business-monitor.ch/de/companies/588536-caballos-iberia-k-vogt-scheerer?utm_source=oberaargau","PROFIL ANSEHEN")</f>
        <v>PROFIL ANSEHEN</v>
      </c>
    </row>
    <row r="916" spans="1:12" x14ac:dyDescent="0.2">
      <c r="A916" t="s">
        <v>4879</v>
      </c>
      <c r="B916" t="s">
        <v>4880</v>
      </c>
      <c r="C916" t="s">
        <v>1812</v>
      </c>
      <c r="E916" t="s">
        <v>4881</v>
      </c>
      <c r="F916">
        <v>4704</v>
      </c>
      <c r="G916" t="s">
        <v>221</v>
      </c>
      <c r="H916" t="s">
        <v>16</v>
      </c>
      <c r="I916" t="s">
        <v>464</v>
      </c>
      <c r="J916" t="s">
        <v>465</v>
      </c>
      <c r="K916" t="s">
        <v>1809</v>
      </c>
      <c r="L916" t="str">
        <f>HYPERLINK("https://business-monitor.ch/de/companies/1095212-cieltransport-utman?utm_source=oberaargau","PROFIL ANSEHEN")</f>
        <v>PROFIL ANSEHEN</v>
      </c>
    </row>
    <row r="917" spans="1:12" x14ac:dyDescent="0.2">
      <c r="A917" t="s">
        <v>3211</v>
      </c>
      <c r="B917" t="s">
        <v>3212</v>
      </c>
      <c r="C917" t="s">
        <v>13</v>
      </c>
      <c r="E917" t="s">
        <v>3213</v>
      </c>
      <c r="F917">
        <v>4950</v>
      </c>
      <c r="G917" t="s">
        <v>15</v>
      </c>
      <c r="H917" t="s">
        <v>16</v>
      </c>
      <c r="I917" t="s">
        <v>366</v>
      </c>
      <c r="J917" t="s">
        <v>367</v>
      </c>
      <c r="K917" t="s">
        <v>1809</v>
      </c>
      <c r="L917" t="str">
        <f>HYPERLINK("https://business-monitor.ch/de/companies/277533-altersresidenz-zur-wiese-ag?utm_source=oberaargau","PROFIL ANSEHEN")</f>
        <v>PROFIL ANSEHEN</v>
      </c>
    </row>
    <row r="918" spans="1:12" x14ac:dyDescent="0.2">
      <c r="A918" t="s">
        <v>14406</v>
      </c>
      <c r="B918" t="s">
        <v>14407</v>
      </c>
      <c r="C918" t="s">
        <v>1812</v>
      </c>
      <c r="E918" t="s">
        <v>6044</v>
      </c>
      <c r="F918">
        <v>4704</v>
      </c>
      <c r="G918" t="s">
        <v>221</v>
      </c>
      <c r="H918" t="s">
        <v>16</v>
      </c>
      <c r="I918" t="s">
        <v>464</v>
      </c>
      <c r="J918" t="s">
        <v>465</v>
      </c>
      <c r="K918" t="s">
        <v>1809</v>
      </c>
      <c r="L918" t="str">
        <f>HYPERLINK("https://business-monitor.ch/de/companies/1307379-cres-trans-inhaber-voicu-crestian?utm_source=oberaargau","PROFIL ANSEHEN")</f>
        <v>PROFIL ANSEHEN</v>
      </c>
    </row>
    <row r="919" spans="1:12" x14ac:dyDescent="0.2">
      <c r="A919" t="s">
        <v>10468</v>
      </c>
      <c r="B919" t="s">
        <v>10469</v>
      </c>
      <c r="C919" t="s">
        <v>1812</v>
      </c>
      <c r="E919" t="s">
        <v>3857</v>
      </c>
      <c r="F919">
        <v>4900</v>
      </c>
      <c r="G919" t="s">
        <v>41</v>
      </c>
      <c r="H919" t="s">
        <v>16</v>
      </c>
      <c r="I919" t="s">
        <v>1981</v>
      </c>
      <c r="J919" t="s">
        <v>1982</v>
      </c>
      <c r="K919" t="s">
        <v>1809</v>
      </c>
      <c r="L919" t="str">
        <f>HYPERLINK("https://business-monitor.ch/de/companies/1032056-le-collier-joel-acker?utm_source=oberaargau","PROFIL ANSEHEN")</f>
        <v>PROFIL ANSEHEN</v>
      </c>
    </row>
    <row r="920" spans="1:12" x14ac:dyDescent="0.2">
      <c r="A920" t="s">
        <v>7208</v>
      </c>
      <c r="B920" t="s">
        <v>7209</v>
      </c>
      <c r="C920" t="s">
        <v>202</v>
      </c>
      <c r="E920" t="s">
        <v>11326</v>
      </c>
      <c r="F920">
        <v>4934</v>
      </c>
      <c r="G920" t="s">
        <v>670</v>
      </c>
      <c r="H920" t="s">
        <v>16</v>
      </c>
      <c r="I920" t="s">
        <v>1543</v>
      </c>
      <c r="J920" t="s">
        <v>1544</v>
      </c>
      <c r="K920" t="s">
        <v>1809</v>
      </c>
      <c r="L920" t="str">
        <f>HYPERLINK("https://business-monitor.ch/de/companies/1036649-pwm-gmbh?utm_source=oberaargau","PROFIL ANSEHEN")</f>
        <v>PROFIL ANSEHEN</v>
      </c>
    </row>
    <row r="921" spans="1:12" x14ac:dyDescent="0.2">
      <c r="A921" t="s">
        <v>4300</v>
      </c>
      <c r="B921" t="s">
        <v>4301</v>
      </c>
      <c r="C921" t="s">
        <v>202</v>
      </c>
      <c r="E921" t="s">
        <v>11715</v>
      </c>
      <c r="F921">
        <v>4914</v>
      </c>
      <c r="G921" t="s">
        <v>105</v>
      </c>
      <c r="H921" t="s">
        <v>16</v>
      </c>
      <c r="I921" t="s">
        <v>260</v>
      </c>
      <c r="J921" t="s">
        <v>261</v>
      </c>
      <c r="K921" t="s">
        <v>1809</v>
      </c>
      <c r="L921" t="str">
        <f>HYPERLINK("https://business-monitor.ch/de/companies/972558-convita-gmbh?utm_source=oberaargau","PROFIL ANSEHEN")</f>
        <v>PROFIL ANSEHEN</v>
      </c>
    </row>
    <row r="922" spans="1:12" x14ac:dyDescent="0.2">
      <c r="A922" t="s">
        <v>14408</v>
      </c>
      <c r="B922" t="s">
        <v>14409</v>
      </c>
      <c r="C922" t="s">
        <v>202</v>
      </c>
      <c r="E922" t="s">
        <v>14410</v>
      </c>
      <c r="F922">
        <v>4913</v>
      </c>
      <c r="G922" t="s">
        <v>207</v>
      </c>
      <c r="H922" t="s">
        <v>16</v>
      </c>
      <c r="I922" t="s">
        <v>260</v>
      </c>
      <c r="J922" t="s">
        <v>261</v>
      </c>
      <c r="K922" t="s">
        <v>1809</v>
      </c>
      <c r="L922" t="str">
        <f>HYPERLINK("https://business-monitor.ch/de/companies/1309067-bauherz-gmbh?utm_source=oberaargau","PROFIL ANSEHEN")</f>
        <v>PROFIL ANSEHEN</v>
      </c>
    </row>
    <row r="923" spans="1:12" x14ac:dyDescent="0.2">
      <c r="A923" t="s">
        <v>6047</v>
      </c>
      <c r="B923" t="s">
        <v>6048</v>
      </c>
      <c r="C923" t="s">
        <v>1812</v>
      </c>
      <c r="E923" t="s">
        <v>90</v>
      </c>
      <c r="F923">
        <v>4900</v>
      </c>
      <c r="G923" t="s">
        <v>41</v>
      </c>
      <c r="H923" t="s">
        <v>16</v>
      </c>
      <c r="I923" t="s">
        <v>2549</v>
      </c>
      <c r="J923" t="s">
        <v>2550</v>
      </c>
      <c r="K923" t="s">
        <v>1809</v>
      </c>
      <c r="L923" t="str">
        <f>HYPERLINK("https://business-monitor.ch/de/companies/668584-stadt-taxi-j-giacometti?utm_source=oberaargau","PROFIL ANSEHEN")</f>
        <v>PROFIL ANSEHEN</v>
      </c>
    </row>
    <row r="924" spans="1:12" x14ac:dyDescent="0.2">
      <c r="A924" t="s">
        <v>12836</v>
      </c>
      <c r="B924" t="s">
        <v>12837</v>
      </c>
      <c r="C924" t="s">
        <v>202</v>
      </c>
      <c r="D924" t="s">
        <v>12838</v>
      </c>
      <c r="E924" t="s">
        <v>12839</v>
      </c>
      <c r="F924">
        <v>4536</v>
      </c>
      <c r="G924" t="s">
        <v>1395</v>
      </c>
      <c r="H924" t="s">
        <v>16</v>
      </c>
      <c r="I924" t="s">
        <v>2665</v>
      </c>
      <c r="J924" t="s">
        <v>2666</v>
      </c>
      <c r="K924" t="s">
        <v>1809</v>
      </c>
      <c r="L924" t="str">
        <f>HYPERLINK("https://business-monitor.ch/de/companies/1225253-holidog-gmbh?utm_source=oberaargau","PROFIL ANSEHEN")</f>
        <v>PROFIL ANSEHEN</v>
      </c>
    </row>
    <row r="925" spans="1:12" x14ac:dyDescent="0.2">
      <c r="A925" t="s">
        <v>12906</v>
      </c>
      <c r="B925" t="s">
        <v>12907</v>
      </c>
      <c r="C925" t="s">
        <v>202</v>
      </c>
      <c r="E925" t="s">
        <v>11420</v>
      </c>
      <c r="F925">
        <v>4914</v>
      </c>
      <c r="G925" t="s">
        <v>105</v>
      </c>
      <c r="H925" t="s">
        <v>16</v>
      </c>
      <c r="I925" t="s">
        <v>276</v>
      </c>
      <c r="J925" t="s">
        <v>277</v>
      </c>
      <c r="K925" t="s">
        <v>1809</v>
      </c>
      <c r="L925" t="str">
        <f>HYPERLINK("https://business-monitor.ch/de/companies/1225547-olive-wood-gmbh?utm_source=oberaargau","PROFIL ANSEHEN")</f>
        <v>PROFIL ANSEHEN</v>
      </c>
    </row>
    <row r="926" spans="1:12" x14ac:dyDescent="0.2">
      <c r="A926" t="s">
        <v>6579</v>
      </c>
      <c r="B926" t="s">
        <v>6580</v>
      </c>
      <c r="C926" t="s">
        <v>13</v>
      </c>
      <c r="E926" t="s">
        <v>8267</v>
      </c>
      <c r="F926">
        <v>3362</v>
      </c>
      <c r="G926" t="s">
        <v>47</v>
      </c>
      <c r="H926" t="s">
        <v>16</v>
      </c>
      <c r="I926" t="s">
        <v>65</v>
      </c>
      <c r="J926" t="s">
        <v>66</v>
      </c>
      <c r="K926" t="s">
        <v>1809</v>
      </c>
      <c r="L926" t="str">
        <f>HYPERLINK("https://business-monitor.ch/de/companies/633437-antcas-ag?utm_source=oberaargau","PROFIL ANSEHEN")</f>
        <v>PROFIL ANSEHEN</v>
      </c>
    </row>
    <row r="927" spans="1:12" x14ac:dyDescent="0.2">
      <c r="A927" t="s">
        <v>945</v>
      </c>
      <c r="B927" t="s">
        <v>946</v>
      </c>
      <c r="C927" t="s">
        <v>13</v>
      </c>
      <c r="E927" t="s">
        <v>947</v>
      </c>
      <c r="F927">
        <v>4900</v>
      </c>
      <c r="G927" t="s">
        <v>41</v>
      </c>
      <c r="H927" t="s">
        <v>16</v>
      </c>
      <c r="I927" t="s">
        <v>157</v>
      </c>
      <c r="J927" t="s">
        <v>158</v>
      </c>
      <c r="K927" t="s">
        <v>1809</v>
      </c>
      <c r="L927" t="str">
        <f>HYPERLINK("https://business-monitor.ch/de/companies/54603-regionalis-immobilien-ag?utm_source=oberaargau","PROFIL ANSEHEN")</f>
        <v>PROFIL ANSEHEN</v>
      </c>
    </row>
    <row r="928" spans="1:12" x14ac:dyDescent="0.2">
      <c r="A928" t="s">
        <v>11631</v>
      </c>
      <c r="B928" t="s">
        <v>11632</v>
      </c>
      <c r="C928" t="s">
        <v>1812</v>
      </c>
      <c r="E928" t="s">
        <v>11099</v>
      </c>
      <c r="F928">
        <v>3360</v>
      </c>
      <c r="G928" t="s">
        <v>35</v>
      </c>
      <c r="H928" t="s">
        <v>16</v>
      </c>
      <c r="I928" t="s">
        <v>551</v>
      </c>
      <c r="J928" t="s">
        <v>552</v>
      </c>
      <c r="K928" t="s">
        <v>1809</v>
      </c>
      <c r="L928" t="str">
        <f>HYPERLINK("https://business-monitor.ch/de/companies/1157534-gima-consulting-mauro?utm_source=oberaargau","PROFIL ANSEHEN")</f>
        <v>PROFIL ANSEHEN</v>
      </c>
    </row>
    <row r="929" spans="1:12" x14ac:dyDescent="0.2">
      <c r="A929" t="s">
        <v>12823</v>
      </c>
      <c r="B929" t="s">
        <v>12824</v>
      </c>
      <c r="C929" t="s">
        <v>202</v>
      </c>
      <c r="E929" t="s">
        <v>12825</v>
      </c>
      <c r="F929">
        <v>3360</v>
      </c>
      <c r="G929" t="s">
        <v>35</v>
      </c>
      <c r="H929" t="s">
        <v>16</v>
      </c>
      <c r="I929" t="s">
        <v>748</v>
      </c>
      <c r="J929" t="s">
        <v>749</v>
      </c>
      <c r="K929" t="s">
        <v>1809</v>
      </c>
      <c r="L929" t="str">
        <f>HYPERLINK("https://business-monitor.ch/de/companies/1216747-pvb-gipserei-malerei-gmbh?utm_source=oberaargau","PROFIL ANSEHEN")</f>
        <v>PROFIL ANSEHEN</v>
      </c>
    </row>
    <row r="930" spans="1:12" x14ac:dyDescent="0.2">
      <c r="A930" t="s">
        <v>8609</v>
      </c>
      <c r="B930" t="s">
        <v>8610</v>
      </c>
      <c r="C930" t="s">
        <v>202</v>
      </c>
      <c r="E930" t="s">
        <v>8611</v>
      </c>
      <c r="F930">
        <v>3367</v>
      </c>
      <c r="G930" t="s">
        <v>455</v>
      </c>
      <c r="H930" t="s">
        <v>16</v>
      </c>
      <c r="I930" t="s">
        <v>260</v>
      </c>
      <c r="J930" t="s">
        <v>261</v>
      </c>
      <c r="K930" t="s">
        <v>1809</v>
      </c>
      <c r="L930" t="str">
        <f>HYPERLINK("https://business-monitor.ch/de/companies/31996-stracasa-gmbh?utm_source=oberaargau","PROFIL ANSEHEN")</f>
        <v>PROFIL ANSEHEN</v>
      </c>
    </row>
    <row r="931" spans="1:12" x14ac:dyDescent="0.2">
      <c r="A931" t="s">
        <v>4516</v>
      </c>
      <c r="B931" t="s">
        <v>4517</v>
      </c>
      <c r="C931" t="s">
        <v>202</v>
      </c>
      <c r="E931" t="s">
        <v>3485</v>
      </c>
      <c r="F931">
        <v>4900</v>
      </c>
      <c r="G931" t="s">
        <v>41</v>
      </c>
      <c r="H931" t="s">
        <v>16</v>
      </c>
      <c r="I931" t="s">
        <v>1860</v>
      </c>
      <c r="J931" t="s">
        <v>1861</v>
      </c>
      <c r="K931" t="s">
        <v>1809</v>
      </c>
      <c r="L931" t="str">
        <f>HYPERLINK("https://business-monitor.ch/de/companies/692684-studio-di-noi-gmbh?utm_source=oberaargau","PROFIL ANSEHEN")</f>
        <v>PROFIL ANSEHEN</v>
      </c>
    </row>
    <row r="932" spans="1:12" x14ac:dyDescent="0.2">
      <c r="A932" t="s">
        <v>4654</v>
      </c>
      <c r="B932" t="s">
        <v>4655</v>
      </c>
      <c r="C932" t="s">
        <v>202</v>
      </c>
      <c r="E932" t="s">
        <v>4656</v>
      </c>
      <c r="F932">
        <v>4914</v>
      </c>
      <c r="G932" t="s">
        <v>105</v>
      </c>
      <c r="H932" t="s">
        <v>16</v>
      </c>
      <c r="I932" t="s">
        <v>1401</v>
      </c>
      <c r="J932" t="s">
        <v>1402</v>
      </c>
      <c r="K932" t="s">
        <v>1809</v>
      </c>
      <c r="L932" t="str">
        <f>HYPERLINK("https://business-monitor.ch/de/companies/620012-toepferei-blumen-steiner-gmbh?utm_source=oberaargau","PROFIL ANSEHEN")</f>
        <v>PROFIL ANSEHEN</v>
      </c>
    </row>
    <row r="933" spans="1:12" x14ac:dyDescent="0.2">
      <c r="A933" t="s">
        <v>14028</v>
      </c>
      <c r="B933" t="s">
        <v>14029</v>
      </c>
      <c r="C933" t="s">
        <v>202</v>
      </c>
      <c r="E933" t="s">
        <v>14030</v>
      </c>
      <c r="F933">
        <v>3377</v>
      </c>
      <c r="G933" t="s">
        <v>1307</v>
      </c>
      <c r="H933" t="s">
        <v>16</v>
      </c>
      <c r="I933" t="s">
        <v>1889</v>
      </c>
      <c r="J933" t="s">
        <v>1890</v>
      </c>
      <c r="K933" t="s">
        <v>1809</v>
      </c>
      <c r="L933" t="str">
        <f>HYPERLINK("https://business-monitor.ch/de/companies/984047-dr-solutions-gmbh?utm_source=oberaargau","PROFIL ANSEHEN")</f>
        <v>PROFIL ANSEHEN</v>
      </c>
    </row>
    <row r="934" spans="1:12" x14ac:dyDescent="0.2">
      <c r="A934" t="s">
        <v>884</v>
      </c>
      <c r="B934" t="s">
        <v>13616</v>
      </c>
      <c r="C934" t="s">
        <v>13</v>
      </c>
      <c r="E934" t="s">
        <v>885</v>
      </c>
      <c r="F934">
        <v>4537</v>
      </c>
      <c r="G934" t="s">
        <v>113</v>
      </c>
      <c r="H934" t="s">
        <v>16</v>
      </c>
      <c r="I934" t="s">
        <v>679</v>
      </c>
      <c r="J934" t="s">
        <v>680</v>
      </c>
      <c r="K934" t="s">
        <v>1809</v>
      </c>
      <c r="L934" t="str">
        <f>HYPERLINK("https://business-monitor.ch/de/companies/87502-j-sindi-immobilien-ag?utm_source=oberaargau","PROFIL ANSEHEN")</f>
        <v>PROFIL ANSEHEN</v>
      </c>
    </row>
    <row r="935" spans="1:12" x14ac:dyDescent="0.2">
      <c r="A935" t="s">
        <v>14038</v>
      </c>
      <c r="B935" t="s">
        <v>14039</v>
      </c>
      <c r="C935" t="s">
        <v>1812</v>
      </c>
      <c r="E935" t="s">
        <v>13972</v>
      </c>
      <c r="F935">
        <v>4932</v>
      </c>
      <c r="G935" t="s">
        <v>325</v>
      </c>
      <c r="H935" t="s">
        <v>16</v>
      </c>
      <c r="I935" t="s">
        <v>1860</v>
      </c>
      <c r="J935" t="s">
        <v>1861</v>
      </c>
      <c r="K935" t="s">
        <v>1809</v>
      </c>
      <c r="L935" t="str">
        <f>HYPERLINK("https://business-monitor.ch/de/companies/1270487-coiffeur-lotzwil-youssef?utm_source=oberaargau","PROFIL ANSEHEN")</f>
        <v>PROFIL ANSEHEN</v>
      </c>
    </row>
    <row r="936" spans="1:12" x14ac:dyDescent="0.2">
      <c r="A936" t="s">
        <v>6084</v>
      </c>
      <c r="B936" t="s">
        <v>6085</v>
      </c>
      <c r="C936" t="s">
        <v>13</v>
      </c>
      <c r="E936" t="s">
        <v>993</v>
      </c>
      <c r="F936">
        <v>4704</v>
      </c>
      <c r="G936" t="s">
        <v>221</v>
      </c>
      <c r="H936" t="s">
        <v>16</v>
      </c>
      <c r="I936" t="s">
        <v>182</v>
      </c>
      <c r="J936" t="s">
        <v>183</v>
      </c>
      <c r="K936" t="s">
        <v>1809</v>
      </c>
      <c r="L936" t="str">
        <f>HYPERLINK("https://business-monitor.ch/de/companies/410894-ssk-holding-ag?utm_source=oberaargau","PROFIL ANSEHEN")</f>
        <v>PROFIL ANSEHEN</v>
      </c>
    </row>
    <row r="937" spans="1:12" x14ac:dyDescent="0.2">
      <c r="A937" t="s">
        <v>2467</v>
      </c>
      <c r="B937" t="s">
        <v>2468</v>
      </c>
      <c r="C937" t="s">
        <v>202</v>
      </c>
      <c r="E937" t="s">
        <v>2469</v>
      </c>
      <c r="F937">
        <v>3377</v>
      </c>
      <c r="G937" t="s">
        <v>1220</v>
      </c>
      <c r="H937" t="s">
        <v>16</v>
      </c>
      <c r="I937" t="s">
        <v>1470</v>
      </c>
      <c r="J937" t="s">
        <v>1471</v>
      </c>
      <c r="K937" t="s">
        <v>1809</v>
      </c>
      <c r="L937" t="str">
        <f>HYPERLINK("https://business-monitor.ch/de/companies/327685-leuenberger-sanitaer-gmbh?utm_source=oberaargau","PROFIL ANSEHEN")</f>
        <v>PROFIL ANSEHEN</v>
      </c>
    </row>
    <row r="938" spans="1:12" x14ac:dyDescent="0.2">
      <c r="A938" t="s">
        <v>11157</v>
      </c>
      <c r="B938" t="s">
        <v>11158</v>
      </c>
      <c r="C938" t="s">
        <v>202</v>
      </c>
      <c r="E938" t="s">
        <v>12194</v>
      </c>
      <c r="F938">
        <v>4937</v>
      </c>
      <c r="G938" t="s">
        <v>951</v>
      </c>
      <c r="H938" t="s">
        <v>16</v>
      </c>
      <c r="I938" t="s">
        <v>134</v>
      </c>
      <c r="J938" t="s">
        <v>135</v>
      </c>
      <c r="K938" t="s">
        <v>1809</v>
      </c>
      <c r="L938" t="str">
        <f>HYPERLINK("https://business-monitor.ch/de/companies/1114728-landstromer-gmbh?utm_source=oberaargau","PROFIL ANSEHEN")</f>
        <v>PROFIL ANSEHEN</v>
      </c>
    </row>
    <row r="939" spans="1:12" x14ac:dyDescent="0.2">
      <c r="A939" t="s">
        <v>4697</v>
      </c>
      <c r="B939" t="s">
        <v>11831</v>
      </c>
      <c r="C939" t="s">
        <v>1812</v>
      </c>
      <c r="E939" t="s">
        <v>4698</v>
      </c>
      <c r="F939">
        <v>4934</v>
      </c>
      <c r="G939" t="s">
        <v>670</v>
      </c>
      <c r="H939" t="s">
        <v>16</v>
      </c>
      <c r="I939" t="s">
        <v>1860</v>
      </c>
      <c r="J939" t="s">
        <v>1861</v>
      </c>
      <c r="K939" t="s">
        <v>1809</v>
      </c>
      <c r="L939" t="str">
        <f>HYPERLINK("https://business-monitor.ch/de/companies/604634-around-the-hair-manuela-steiner?utm_source=oberaargau","PROFIL ANSEHEN")</f>
        <v>PROFIL ANSEHEN</v>
      </c>
    </row>
    <row r="940" spans="1:12" x14ac:dyDescent="0.2">
      <c r="A940" t="s">
        <v>11730</v>
      </c>
      <c r="B940" t="s">
        <v>11731</v>
      </c>
      <c r="C940" t="s">
        <v>1812</v>
      </c>
      <c r="E940" t="s">
        <v>11732</v>
      </c>
      <c r="F940">
        <v>4704</v>
      </c>
      <c r="G940" t="s">
        <v>221</v>
      </c>
      <c r="H940" t="s">
        <v>16</v>
      </c>
      <c r="I940" t="s">
        <v>3775</v>
      </c>
      <c r="J940" t="s">
        <v>3776</v>
      </c>
      <c r="K940" t="s">
        <v>1809</v>
      </c>
      <c r="L940" t="str">
        <f>HYPERLINK("https://business-monitor.ch/de/companies/1156562-t-nerd-videoproduktion-aegerter?utm_source=oberaargau","PROFIL ANSEHEN")</f>
        <v>PROFIL ANSEHEN</v>
      </c>
    </row>
    <row r="941" spans="1:12" x14ac:dyDescent="0.2">
      <c r="A941" t="s">
        <v>9577</v>
      </c>
      <c r="B941" t="s">
        <v>9578</v>
      </c>
      <c r="C941" t="s">
        <v>13</v>
      </c>
      <c r="D941" t="s">
        <v>9579</v>
      </c>
      <c r="E941" t="s">
        <v>756</v>
      </c>
      <c r="F941">
        <v>3360</v>
      </c>
      <c r="G941" t="s">
        <v>35</v>
      </c>
      <c r="H941" t="s">
        <v>16</v>
      </c>
      <c r="I941" t="s">
        <v>182</v>
      </c>
      <c r="J941" t="s">
        <v>183</v>
      </c>
      <c r="K941" t="s">
        <v>1809</v>
      </c>
      <c r="L941" t="str">
        <f>HYPERLINK("https://business-monitor.ch/de/companies/1032411-fl-group-ag?utm_source=oberaargau","PROFIL ANSEHEN")</f>
        <v>PROFIL ANSEHEN</v>
      </c>
    </row>
    <row r="942" spans="1:12" x14ac:dyDescent="0.2">
      <c r="A942" t="s">
        <v>11356</v>
      </c>
      <c r="B942" t="s">
        <v>14411</v>
      </c>
      <c r="C942" t="s">
        <v>202</v>
      </c>
      <c r="E942" t="s">
        <v>14410</v>
      </c>
      <c r="F942">
        <v>4913</v>
      </c>
      <c r="G942" t="s">
        <v>207</v>
      </c>
      <c r="H942" t="s">
        <v>16</v>
      </c>
      <c r="I942" t="s">
        <v>1140</v>
      </c>
      <c r="J942" t="s">
        <v>1141</v>
      </c>
      <c r="K942" t="s">
        <v>1809</v>
      </c>
      <c r="L942" t="str">
        <f>HYPERLINK("https://business-monitor.ch/de/companies/122339-vial-automation-gmbh?utm_source=oberaargau","PROFIL ANSEHEN")</f>
        <v>PROFIL ANSEHEN</v>
      </c>
    </row>
    <row r="943" spans="1:12" x14ac:dyDescent="0.2">
      <c r="A943" t="s">
        <v>14248</v>
      </c>
      <c r="B943" t="s">
        <v>14249</v>
      </c>
      <c r="C943" t="s">
        <v>1812</v>
      </c>
      <c r="E943" t="s">
        <v>14250</v>
      </c>
      <c r="F943">
        <v>4922</v>
      </c>
      <c r="G943" t="s">
        <v>99</v>
      </c>
      <c r="H943" t="s">
        <v>16</v>
      </c>
      <c r="I943" t="s">
        <v>6733</v>
      </c>
      <c r="J943" t="s">
        <v>6734</v>
      </c>
      <c r="K943" t="s">
        <v>1809</v>
      </c>
      <c r="L943" t="str">
        <f>HYPERLINK("https://business-monitor.ch/de/companies/182908-signwrite-michael-bader?utm_source=oberaargau","PROFIL ANSEHEN")</f>
        <v>PROFIL ANSEHEN</v>
      </c>
    </row>
    <row r="944" spans="1:12" x14ac:dyDescent="0.2">
      <c r="A944" t="s">
        <v>4635</v>
      </c>
      <c r="B944" t="s">
        <v>4636</v>
      </c>
      <c r="C944" t="s">
        <v>202</v>
      </c>
      <c r="E944" t="s">
        <v>4637</v>
      </c>
      <c r="F944">
        <v>4912</v>
      </c>
      <c r="G944" t="s">
        <v>64</v>
      </c>
      <c r="H944" t="s">
        <v>16</v>
      </c>
      <c r="I944" t="s">
        <v>570</v>
      </c>
      <c r="J944" t="s">
        <v>571</v>
      </c>
      <c r="K944" t="s">
        <v>1809</v>
      </c>
      <c r="L944" t="str">
        <f>HYPERLINK("https://business-monitor.ch/de/companies/624908-airplus-lueftung-klima-akustik-gmbh?utm_source=oberaargau","PROFIL ANSEHEN")</f>
        <v>PROFIL ANSEHEN</v>
      </c>
    </row>
    <row r="945" spans="1:12" x14ac:dyDescent="0.2">
      <c r="A945" t="s">
        <v>3718</v>
      </c>
      <c r="B945" t="s">
        <v>3719</v>
      </c>
      <c r="C945" t="s">
        <v>1812</v>
      </c>
      <c r="E945" t="s">
        <v>3720</v>
      </c>
      <c r="F945">
        <v>4914</v>
      </c>
      <c r="G945" t="s">
        <v>105</v>
      </c>
      <c r="H945" t="s">
        <v>16</v>
      </c>
      <c r="I945" t="s">
        <v>997</v>
      </c>
      <c r="J945" t="s">
        <v>998</v>
      </c>
      <c r="K945" t="s">
        <v>1809</v>
      </c>
      <c r="L945" t="str">
        <f>HYPERLINK("https://business-monitor.ch/de/companies/5167-ops-liechti?utm_source=oberaargau","PROFIL ANSEHEN")</f>
        <v>PROFIL ANSEHEN</v>
      </c>
    </row>
    <row r="946" spans="1:12" x14ac:dyDescent="0.2">
      <c r="A946" t="s">
        <v>3434</v>
      </c>
      <c r="B946" t="s">
        <v>3435</v>
      </c>
      <c r="C946" t="s">
        <v>13</v>
      </c>
      <c r="E946" t="s">
        <v>1885</v>
      </c>
      <c r="F946">
        <v>4536</v>
      </c>
      <c r="G946" t="s">
        <v>1395</v>
      </c>
      <c r="H946" t="s">
        <v>16</v>
      </c>
      <c r="I946" t="s">
        <v>464</v>
      </c>
      <c r="J946" t="s">
        <v>465</v>
      </c>
      <c r="K946" t="s">
        <v>1809</v>
      </c>
      <c r="L946" t="str">
        <f>HYPERLINK("https://business-monitor.ch/de/companies/176688-max-kurth-transport-ag?utm_source=oberaargau","PROFIL ANSEHEN")</f>
        <v>PROFIL ANSEHEN</v>
      </c>
    </row>
    <row r="947" spans="1:12" x14ac:dyDescent="0.2">
      <c r="A947" t="s">
        <v>13673</v>
      </c>
      <c r="B947" t="s">
        <v>13674</v>
      </c>
      <c r="C947" t="s">
        <v>1812</v>
      </c>
      <c r="E947" t="s">
        <v>13675</v>
      </c>
      <c r="F947">
        <v>4537</v>
      </c>
      <c r="G947" t="s">
        <v>113</v>
      </c>
      <c r="H947" t="s">
        <v>16</v>
      </c>
      <c r="I947" t="s">
        <v>464</v>
      </c>
      <c r="J947" t="s">
        <v>465</v>
      </c>
      <c r="K947" t="s">
        <v>1809</v>
      </c>
      <c r="L947" t="str">
        <f>HYPERLINK("https://business-monitor.ch/de/companies/1260430-arm-transporte?utm_source=oberaargau","PROFIL ANSEHEN")</f>
        <v>PROFIL ANSEHEN</v>
      </c>
    </row>
    <row r="948" spans="1:12" x14ac:dyDescent="0.2">
      <c r="A948" t="s">
        <v>10419</v>
      </c>
      <c r="B948" t="s">
        <v>10420</v>
      </c>
      <c r="C948" t="s">
        <v>1812</v>
      </c>
      <c r="E948" t="s">
        <v>1848</v>
      </c>
      <c r="F948">
        <v>4704</v>
      </c>
      <c r="G948" t="s">
        <v>221</v>
      </c>
      <c r="H948" t="s">
        <v>16</v>
      </c>
      <c r="I948" t="s">
        <v>4569</v>
      </c>
      <c r="J948" t="s">
        <v>4570</v>
      </c>
      <c r="K948" t="s">
        <v>1809</v>
      </c>
      <c r="L948" t="str">
        <f>HYPERLINK("https://business-monitor.ch/de/companies/126004-oakway-multimedia-castelberg?utm_source=oberaargau","PROFIL ANSEHEN")</f>
        <v>PROFIL ANSEHEN</v>
      </c>
    </row>
    <row r="949" spans="1:12" x14ac:dyDescent="0.2">
      <c r="A949" t="s">
        <v>14291</v>
      </c>
      <c r="B949" t="s">
        <v>14292</v>
      </c>
      <c r="C949" t="s">
        <v>202</v>
      </c>
      <c r="E949" t="s">
        <v>12796</v>
      </c>
      <c r="F949">
        <v>3372</v>
      </c>
      <c r="G949" t="s">
        <v>2120</v>
      </c>
      <c r="H949" t="s">
        <v>16</v>
      </c>
      <c r="I949" t="s">
        <v>153</v>
      </c>
      <c r="J949" t="s">
        <v>154</v>
      </c>
      <c r="K949" t="s">
        <v>1809</v>
      </c>
      <c r="L949" t="str">
        <f>HYPERLINK("https://business-monitor.ch/de/companies/127214-innorat-gmbh?utm_source=oberaargau","PROFIL ANSEHEN")</f>
        <v>PROFIL ANSEHEN</v>
      </c>
    </row>
    <row r="950" spans="1:12" x14ac:dyDescent="0.2">
      <c r="A950" t="s">
        <v>11531</v>
      </c>
      <c r="B950" t="s">
        <v>11532</v>
      </c>
      <c r="C950" t="s">
        <v>1812</v>
      </c>
      <c r="E950" t="s">
        <v>11533</v>
      </c>
      <c r="F950">
        <v>4934</v>
      </c>
      <c r="G950" t="s">
        <v>670</v>
      </c>
      <c r="H950" t="s">
        <v>16</v>
      </c>
      <c r="I950" t="s">
        <v>1835</v>
      </c>
      <c r="J950" t="s">
        <v>1836</v>
      </c>
      <c r="K950" t="s">
        <v>1809</v>
      </c>
      <c r="L950" t="str">
        <f>HYPERLINK("https://business-monitor.ch/de/companies/1144453-beck-s-management?utm_source=oberaargau","PROFIL ANSEHEN")</f>
        <v>PROFIL ANSEHEN</v>
      </c>
    </row>
    <row r="951" spans="1:12" x14ac:dyDescent="0.2">
      <c r="A951" t="s">
        <v>11529</v>
      </c>
      <c r="B951" t="s">
        <v>11530</v>
      </c>
      <c r="C951" t="s">
        <v>202</v>
      </c>
      <c r="E951" t="s">
        <v>11184</v>
      </c>
      <c r="F951">
        <v>4912</v>
      </c>
      <c r="G951" t="s">
        <v>64</v>
      </c>
      <c r="H951" t="s">
        <v>16</v>
      </c>
      <c r="I951" t="s">
        <v>4247</v>
      </c>
      <c r="J951" t="s">
        <v>4248</v>
      </c>
      <c r="K951" t="s">
        <v>1809</v>
      </c>
      <c r="L951" t="str">
        <f>HYPERLINK("https://business-monitor.ch/de/companies/1144454-anasimcare-gmbh?utm_source=oberaargau","PROFIL ANSEHEN")</f>
        <v>PROFIL ANSEHEN</v>
      </c>
    </row>
    <row r="952" spans="1:12" x14ac:dyDescent="0.2">
      <c r="A952" t="s">
        <v>8559</v>
      </c>
      <c r="B952" t="s">
        <v>11055</v>
      </c>
      <c r="C952" t="s">
        <v>1812</v>
      </c>
      <c r="E952" t="s">
        <v>8560</v>
      </c>
      <c r="F952">
        <v>4900</v>
      </c>
      <c r="G952" t="s">
        <v>41</v>
      </c>
      <c r="H952" t="s">
        <v>16</v>
      </c>
      <c r="I952" t="s">
        <v>1716</v>
      </c>
      <c r="J952" t="s">
        <v>1717</v>
      </c>
      <c r="K952" t="s">
        <v>1809</v>
      </c>
      <c r="L952" t="str">
        <f>HYPERLINK("https://business-monitor.ch/de/companies/486214-langenthaler-bierbrauerei-mosimann?utm_source=oberaargau","PROFIL ANSEHEN")</f>
        <v>PROFIL ANSEHEN</v>
      </c>
    </row>
    <row r="953" spans="1:12" x14ac:dyDescent="0.2">
      <c r="A953" t="s">
        <v>7079</v>
      </c>
      <c r="B953" t="s">
        <v>7080</v>
      </c>
      <c r="C953" t="s">
        <v>202</v>
      </c>
      <c r="E953" t="s">
        <v>3873</v>
      </c>
      <c r="F953">
        <v>4934</v>
      </c>
      <c r="G953" t="s">
        <v>670</v>
      </c>
      <c r="H953" t="s">
        <v>16</v>
      </c>
      <c r="I953" t="s">
        <v>2440</v>
      </c>
      <c r="J953" t="s">
        <v>2441</v>
      </c>
      <c r="K953" t="s">
        <v>1809</v>
      </c>
      <c r="L953" t="str">
        <f>HYPERLINK("https://business-monitor.ch/de/companies/1001336-lustenberger-galli-parkett-bodenbelaege-gmbh?utm_source=oberaargau","PROFIL ANSEHEN")</f>
        <v>PROFIL ANSEHEN</v>
      </c>
    </row>
    <row r="954" spans="1:12" x14ac:dyDescent="0.2">
      <c r="A954" t="s">
        <v>7786</v>
      </c>
      <c r="B954" t="s">
        <v>7787</v>
      </c>
      <c r="C954" t="s">
        <v>202</v>
      </c>
      <c r="E954" t="s">
        <v>7788</v>
      </c>
      <c r="F954">
        <v>4950</v>
      </c>
      <c r="G954" t="s">
        <v>15</v>
      </c>
      <c r="H954" t="s">
        <v>16</v>
      </c>
      <c r="I954" t="s">
        <v>824</v>
      </c>
      <c r="J954" t="s">
        <v>825</v>
      </c>
      <c r="K954" t="s">
        <v>1809</v>
      </c>
      <c r="L954" t="str">
        <f>HYPERLINK("https://business-monitor.ch/de/companies/552119-jordi-gastro-gmbh?utm_source=oberaargau","PROFIL ANSEHEN")</f>
        <v>PROFIL ANSEHEN</v>
      </c>
    </row>
    <row r="955" spans="1:12" x14ac:dyDescent="0.2">
      <c r="A955" t="s">
        <v>2627</v>
      </c>
      <c r="B955" t="s">
        <v>2628</v>
      </c>
      <c r="C955" t="s">
        <v>202</v>
      </c>
      <c r="E955" t="s">
        <v>2629</v>
      </c>
      <c r="F955">
        <v>4912</v>
      </c>
      <c r="G955" t="s">
        <v>64</v>
      </c>
      <c r="H955" t="s">
        <v>16</v>
      </c>
      <c r="I955" t="s">
        <v>824</v>
      </c>
      <c r="J955" t="s">
        <v>825</v>
      </c>
      <c r="K955" t="s">
        <v>1809</v>
      </c>
      <c r="L955" t="str">
        <f>HYPERLINK("https://business-monitor.ch/de/companies/499108-tierlihus-gmbh?utm_source=oberaargau","PROFIL ANSEHEN")</f>
        <v>PROFIL ANSEHEN</v>
      </c>
    </row>
    <row r="956" spans="1:12" x14ac:dyDescent="0.2">
      <c r="A956" t="s">
        <v>9572</v>
      </c>
      <c r="B956" t="s">
        <v>9573</v>
      </c>
      <c r="C956" t="s">
        <v>13</v>
      </c>
      <c r="E956" t="s">
        <v>2705</v>
      </c>
      <c r="F956">
        <v>4900</v>
      </c>
      <c r="G956" t="s">
        <v>41</v>
      </c>
      <c r="H956" t="s">
        <v>16</v>
      </c>
      <c r="I956" t="s">
        <v>5080</v>
      </c>
      <c r="J956" t="s">
        <v>5081</v>
      </c>
      <c r="K956" t="s">
        <v>1809</v>
      </c>
      <c r="L956" t="str">
        <f>HYPERLINK("https://business-monitor.ch/de/companies/984493-minikita-langenthal-ag?utm_source=oberaargau","PROFIL ANSEHEN")</f>
        <v>PROFIL ANSEHEN</v>
      </c>
    </row>
    <row r="957" spans="1:12" x14ac:dyDescent="0.2">
      <c r="A957" t="s">
        <v>13319</v>
      </c>
      <c r="B957" t="s">
        <v>13320</v>
      </c>
      <c r="C957" t="s">
        <v>202</v>
      </c>
      <c r="E957" t="s">
        <v>13321</v>
      </c>
      <c r="F957">
        <v>3360</v>
      </c>
      <c r="G957" t="s">
        <v>35</v>
      </c>
      <c r="H957" t="s">
        <v>16</v>
      </c>
      <c r="I957" t="s">
        <v>1993</v>
      </c>
      <c r="J957" t="s">
        <v>1994</v>
      </c>
      <c r="K957" t="s">
        <v>1809</v>
      </c>
      <c r="L957" t="str">
        <f>HYPERLINK("https://business-monitor.ch/de/companies/996026-ais-immo-concept-gmbh?utm_source=oberaargau","PROFIL ANSEHEN")</f>
        <v>PROFIL ANSEHEN</v>
      </c>
    </row>
    <row r="958" spans="1:12" x14ac:dyDescent="0.2">
      <c r="A958" t="s">
        <v>9775</v>
      </c>
      <c r="B958" t="s">
        <v>9776</v>
      </c>
      <c r="C958" t="s">
        <v>202</v>
      </c>
      <c r="E958" t="s">
        <v>9777</v>
      </c>
      <c r="F958">
        <v>4913</v>
      </c>
      <c r="G958" t="s">
        <v>207</v>
      </c>
      <c r="H958" t="s">
        <v>16</v>
      </c>
      <c r="I958" t="s">
        <v>679</v>
      </c>
      <c r="J958" t="s">
        <v>680</v>
      </c>
      <c r="K958" t="s">
        <v>1809</v>
      </c>
      <c r="L958" t="str">
        <f>HYPERLINK("https://business-monitor.ch/de/companies/1024762-montagen-sepp-mueller-gmbh?utm_source=oberaargau","PROFIL ANSEHEN")</f>
        <v>PROFIL ANSEHEN</v>
      </c>
    </row>
    <row r="959" spans="1:12" x14ac:dyDescent="0.2">
      <c r="A959" t="s">
        <v>9211</v>
      </c>
      <c r="B959" t="s">
        <v>9212</v>
      </c>
      <c r="C959" t="s">
        <v>13</v>
      </c>
      <c r="E959" t="s">
        <v>9213</v>
      </c>
      <c r="F959">
        <v>4950</v>
      </c>
      <c r="G959" t="s">
        <v>15</v>
      </c>
      <c r="H959" t="s">
        <v>16</v>
      </c>
      <c r="I959" t="s">
        <v>679</v>
      </c>
      <c r="J959" t="s">
        <v>680</v>
      </c>
      <c r="K959" t="s">
        <v>1809</v>
      </c>
      <c r="L959" t="str">
        <f>HYPERLINK("https://business-monitor.ch/de/companies/141054-graf-schreinerei-ag-huttwil?utm_source=oberaargau","PROFIL ANSEHEN")</f>
        <v>PROFIL ANSEHEN</v>
      </c>
    </row>
    <row r="960" spans="1:12" x14ac:dyDescent="0.2">
      <c r="A960" t="s">
        <v>10189</v>
      </c>
      <c r="B960" t="s">
        <v>10190</v>
      </c>
      <c r="C960" t="s">
        <v>202</v>
      </c>
      <c r="E960" t="s">
        <v>11473</v>
      </c>
      <c r="F960">
        <v>4900</v>
      </c>
      <c r="G960" t="s">
        <v>41</v>
      </c>
      <c r="H960" t="s">
        <v>16</v>
      </c>
      <c r="I960" t="s">
        <v>4213</v>
      </c>
      <c r="J960" t="s">
        <v>4214</v>
      </c>
      <c r="K960" t="s">
        <v>1809</v>
      </c>
      <c r="L960" t="str">
        <f>HYPERLINK("https://business-monitor.ch/de/companies/631882-simon-wernly-gmbh?utm_source=oberaargau","PROFIL ANSEHEN")</f>
        <v>PROFIL ANSEHEN</v>
      </c>
    </row>
    <row r="961" spans="1:12" x14ac:dyDescent="0.2">
      <c r="A961" t="s">
        <v>1876</v>
      </c>
      <c r="B961" t="s">
        <v>1877</v>
      </c>
      <c r="C961" t="s">
        <v>1812</v>
      </c>
      <c r="E961" t="s">
        <v>1878</v>
      </c>
      <c r="F961">
        <v>3373</v>
      </c>
      <c r="G961" t="s">
        <v>1640</v>
      </c>
      <c r="H961" t="s">
        <v>16</v>
      </c>
      <c r="I961" t="s">
        <v>10263</v>
      </c>
      <c r="J961" t="s">
        <v>10264</v>
      </c>
      <c r="K961" t="s">
        <v>1809</v>
      </c>
      <c r="L961" t="str">
        <f>HYPERLINK("https://business-monitor.ch/de/companies/525240-rustikaler-landhausstil-schaer-caroline?utm_source=oberaargau","PROFIL ANSEHEN")</f>
        <v>PROFIL ANSEHEN</v>
      </c>
    </row>
    <row r="962" spans="1:12" x14ac:dyDescent="0.2">
      <c r="A962" t="s">
        <v>4975</v>
      </c>
      <c r="B962" t="s">
        <v>4976</v>
      </c>
      <c r="C962" t="s">
        <v>13</v>
      </c>
      <c r="E962" t="s">
        <v>4507</v>
      </c>
      <c r="F962">
        <v>4900</v>
      </c>
      <c r="G962" t="s">
        <v>41</v>
      </c>
      <c r="H962" t="s">
        <v>16</v>
      </c>
      <c r="I962" t="s">
        <v>2050</v>
      </c>
      <c r="J962" t="s">
        <v>2051</v>
      </c>
      <c r="K962" t="s">
        <v>1809</v>
      </c>
      <c r="L962" t="str">
        <f>HYPERLINK("https://business-monitor.ch/de/companies/150147-regalino-ag?utm_source=oberaargau","PROFIL ANSEHEN")</f>
        <v>PROFIL ANSEHEN</v>
      </c>
    </row>
    <row r="963" spans="1:12" x14ac:dyDescent="0.2">
      <c r="A963" t="s">
        <v>10477</v>
      </c>
      <c r="B963" t="s">
        <v>10478</v>
      </c>
      <c r="C963" t="s">
        <v>1812</v>
      </c>
      <c r="E963" t="s">
        <v>3973</v>
      </c>
      <c r="F963">
        <v>4938</v>
      </c>
      <c r="G963" t="s">
        <v>618</v>
      </c>
      <c r="H963" t="s">
        <v>16</v>
      </c>
      <c r="I963" t="s">
        <v>2445</v>
      </c>
      <c r="J963" t="s">
        <v>2446</v>
      </c>
      <c r="K963" t="s">
        <v>1809</v>
      </c>
      <c r="L963" t="str">
        <f>HYPERLINK("https://business-monitor.ch/de/companies/309327-millennium-computers-res-derendinger?utm_source=oberaargau","PROFIL ANSEHEN")</f>
        <v>PROFIL ANSEHEN</v>
      </c>
    </row>
    <row r="964" spans="1:12" x14ac:dyDescent="0.2">
      <c r="A964" t="s">
        <v>4975</v>
      </c>
      <c r="B964" t="s">
        <v>9175</v>
      </c>
      <c r="C964" t="s">
        <v>13</v>
      </c>
      <c r="E964" t="s">
        <v>3622</v>
      </c>
      <c r="F964">
        <v>3360</v>
      </c>
      <c r="G964" t="s">
        <v>35</v>
      </c>
      <c r="H964" t="s">
        <v>16</v>
      </c>
      <c r="I964" t="s">
        <v>642</v>
      </c>
      <c r="J964" t="s">
        <v>643</v>
      </c>
      <c r="K964" t="s">
        <v>1809</v>
      </c>
      <c r="L964" t="str">
        <f>HYPERLINK("https://business-monitor.ch/de/companies/156345-juerg-hasler-ag?utm_source=oberaargau","PROFIL ANSEHEN")</f>
        <v>PROFIL ANSEHEN</v>
      </c>
    </row>
    <row r="965" spans="1:12" x14ac:dyDescent="0.2">
      <c r="A965" t="s">
        <v>7604</v>
      </c>
      <c r="B965" t="s">
        <v>7605</v>
      </c>
      <c r="C965" t="s">
        <v>202</v>
      </c>
      <c r="E965" t="s">
        <v>14320</v>
      </c>
      <c r="F965">
        <v>4914</v>
      </c>
      <c r="G965" t="s">
        <v>105</v>
      </c>
      <c r="H965" t="s">
        <v>16</v>
      </c>
      <c r="I965" t="s">
        <v>551</v>
      </c>
      <c r="J965" t="s">
        <v>552</v>
      </c>
      <c r="K965" t="s">
        <v>1809</v>
      </c>
      <c r="L965" t="str">
        <f>HYPERLINK("https://business-monitor.ch/de/companies/669581-dilara-pizza-gmbh?utm_source=oberaargau","PROFIL ANSEHEN")</f>
        <v>PROFIL ANSEHEN</v>
      </c>
    </row>
    <row r="966" spans="1:12" x14ac:dyDescent="0.2">
      <c r="A966" t="s">
        <v>4149</v>
      </c>
      <c r="B966" t="s">
        <v>4150</v>
      </c>
      <c r="C966" t="s">
        <v>1922</v>
      </c>
      <c r="E966" t="s">
        <v>4151</v>
      </c>
      <c r="F966">
        <v>3365</v>
      </c>
      <c r="G966" t="s">
        <v>1008</v>
      </c>
      <c r="H966" t="s">
        <v>16</v>
      </c>
      <c r="I966" t="s">
        <v>640</v>
      </c>
      <c r="J966" t="s">
        <v>641</v>
      </c>
      <c r="K966" t="s">
        <v>1809</v>
      </c>
      <c r="L966" t="str">
        <f>HYPERLINK("https://business-monitor.ch/de/companies/1019336-eselmueller-stiftung?utm_source=oberaargau","PROFIL ANSEHEN")</f>
        <v>PROFIL ANSEHEN</v>
      </c>
    </row>
    <row r="967" spans="1:12" x14ac:dyDescent="0.2">
      <c r="A967" t="s">
        <v>7227</v>
      </c>
      <c r="B967" t="s">
        <v>7228</v>
      </c>
      <c r="C967" t="s">
        <v>202</v>
      </c>
      <c r="E967" t="s">
        <v>14176</v>
      </c>
      <c r="F967">
        <v>4912</v>
      </c>
      <c r="G967" t="s">
        <v>64</v>
      </c>
      <c r="H967" t="s">
        <v>16</v>
      </c>
      <c r="I967" t="s">
        <v>77</v>
      </c>
      <c r="J967" t="s">
        <v>78</v>
      </c>
      <c r="K967" t="s">
        <v>1809</v>
      </c>
      <c r="L967" t="str">
        <f>HYPERLINK("https://business-monitor.ch/de/companies/1030899-solo-group-gmbh?utm_source=oberaargau","PROFIL ANSEHEN")</f>
        <v>PROFIL ANSEHEN</v>
      </c>
    </row>
    <row r="968" spans="1:12" x14ac:dyDescent="0.2">
      <c r="A968" t="s">
        <v>2679</v>
      </c>
      <c r="B968" t="s">
        <v>2680</v>
      </c>
      <c r="C968" t="s">
        <v>13</v>
      </c>
      <c r="E968" t="s">
        <v>2681</v>
      </c>
      <c r="F968">
        <v>3373</v>
      </c>
      <c r="G968" t="s">
        <v>1640</v>
      </c>
      <c r="H968" t="s">
        <v>16</v>
      </c>
      <c r="I968" t="s">
        <v>781</v>
      </c>
      <c r="J968" t="s">
        <v>782</v>
      </c>
      <c r="K968" t="s">
        <v>1809</v>
      </c>
      <c r="L968" t="str">
        <f>HYPERLINK("https://business-monitor.ch/de/companies/473072-jaeggi-landtechnik-ag?utm_source=oberaargau","PROFIL ANSEHEN")</f>
        <v>PROFIL ANSEHEN</v>
      </c>
    </row>
    <row r="969" spans="1:12" x14ac:dyDescent="0.2">
      <c r="A969" t="s">
        <v>4366</v>
      </c>
      <c r="B969" t="s">
        <v>4367</v>
      </c>
      <c r="C969" t="s">
        <v>202</v>
      </c>
      <c r="E969" t="s">
        <v>4094</v>
      </c>
      <c r="F969">
        <v>4922</v>
      </c>
      <c r="G969" t="s">
        <v>99</v>
      </c>
      <c r="H969" t="s">
        <v>16</v>
      </c>
      <c r="I969" t="s">
        <v>642</v>
      </c>
      <c r="J969" t="s">
        <v>643</v>
      </c>
      <c r="K969" t="s">
        <v>1809</v>
      </c>
      <c r="L969" t="str">
        <f>HYPERLINK("https://business-monitor.ch/de/companies/953520-sdc-tuning-gmbh?utm_source=oberaargau","PROFIL ANSEHEN")</f>
        <v>PROFIL ANSEHEN</v>
      </c>
    </row>
    <row r="970" spans="1:12" x14ac:dyDescent="0.2">
      <c r="A970" t="s">
        <v>11272</v>
      </c>
      <c r="B970" t="s">
        <v>11214</v>
      </c>
      <c r="C970" t="s">
        <v>1812</v>
      </c>
      <c r="E970" t="s">
        <v>11215</v>
      </c>
      <c r="F970">
        <v>4916</v>
      </c>
      <c r="G970" t="s">
        <v>780</v>
      </c>
      <c r="H970" t="s">
        <v>16</v>
      </c>
      <c r="I970" t="s">
        <v>91</v>
      </c>
      <c r="J970" t="s">
        <v>92</v>
      </c>
      <c r="K970" t="s">
        <v>1809</v>
      </c>
      <c r="L970" t="str">
        <f>HYPERLINK("https://business-monitor.ch/de/companies/1135067-flueckiger-log-plan-logistik-und-planungen?utm_source=oberaargau","PROFIL ANSEHEN")</f>
        <v>PROFIL ANSEHEN</v>
      </c>
    </row>
    <row r="971" spans="1:12" x14ac:dyDescent="0.2">
      <c r="A971" t="s">
        <v>9894</v>
      </c>
      <c r="B971" t="s">
        <v>9895</v>
      </c>
      <c r="C971" t="s">
        <v>13</v>
      </c>
      <c r="D971" t="s">
        <v>9346</v>
      </c>
      <c r="E971" t="s">
        <v>9347</v>
      </c>
      <c r="F971">
        <v>3360</v>
      </c>
      <c r="G971" t="s">
        <v>35</v>
      </c>
      <c r="H971" t="s">
        <v>16</v>
      </c>
      <c r="I971" t="s">
        <v>186</v>
      </c>
      <c r="J971" t="s">
        <v>187</v>
      </c>
      <c r="K971" t="s">
        <v>1809</v>
      </c>
      <c r="L971" t="str">
        <f>HYPERLINK("https://business-monitor.ch/de/companies/968821-rumolia-beteiligungs-ag?utm_source=oberaargau","PROFIL ANSEHEN")</f>
        <v>PROFIL ANSEHEN</v>
      </c>
    </row>
    <row r="972" spans="1:12" x14ac:dyDescent="0.2">
      <c r="A972" t="s">
        <v>9217</v>
      </c>
      <c r="B972" t="s">
        <v>9218</v>
      </c>
      <c r="C972" t="s">
        <v>13</v>
      </c>
      <c r="E972" t="s">
        <v>9219</v>
      </c>
      <c r="F972">
        <v>4900</v>
      </c>
      <c r="G972" t="s">
        <v>41</v>
      </c>
      <c r="H972" t="s">
        <v>16</v>
      </c>
      <c r="I972" t="s">
        <v>2050</v>
      </c>
      <c r="J972" t="s">
        <v>2051</v>
      </c>
      <c r="K972" t="s">
        <v>1809</v>
      </c>
      <c r="L972" t="str">
        <f>HYPERLINK("https://business-monitor.ch/de/companies/135011-frutiger-display-ag?utm_source=oberaargau","PROFIL ANSEHEN")</f>
        <v>PROFIL ANSEHEN</v>
      </c>
    </row>
    <row r="973" spans="1:12" x14ac:dyDescent="0.2">
      <c r="A973" t="s">
        <v>13655</v>
      </c>
      <c r="B973" t="s">
        <v>13656</v>
      </c>
      <c r="C973" t="s">
        <v>1812</v>
      </c>
      <c r="D973" t="s">
        <v>13657</v>
      </c>
      <c r="E973" t="s">
        <v>13658</v>
      </c>
      <c r="F973">
        <v>4950</v>
      </c>
      <c r="G973" t="s">
        <v>15</v>
      </c>
      <c r="H973" t="s">
        <v>16</v>
      </c>
      <c r="I973" t="s">
        <v>1855</v>
      </c>
      <c r="J973" t="s">
        <v>1856</v>
      </c>
      <c r="K973" t="s">
        <v>1809</v>
      </c>
      <c r="L973" t="str">
        <f>HYPERLINK("https://business-monitor.ch/de/companies/1261904-beauty-by-tina-hyseni?utm_source=oberaargau","PROFIL ANSEHEN")</f>
        <v>PROFIL ANSEHEN</v>
      </c>
    </row>
    <row r="974" spans="1:12" x14ac:dyDescent="0.2">
      <c r="A974" t="s">
        <v>7765</v>
      </c>
      <c r="B974" t="s">
        <v>7766</v>
      </c>
      <c r="C974" t="s">
        <v>202</v>
      </c>
      <c r="E974" t="s">
        <v>2457</v>
      </c>
      <c r="F974">
        <v>4934</v>
      </c>
      <c r="G974" t="s">
        <v>670</v>
      </c>
      <c r="H974" t="s">
        <v>16</v>
      </c>
      <c r="I974" t="s">
        <v>1267</v>
      </c>
      <c r="J974" t="s">
        <v>1268</v>
      </c>
      <c r="K974" t="s">
        <v>1809</v>
      </c>
      <c r="L974" t="str">
        <f>HYPERLINK("https://business-monitor.ch/de/companies/577843-bilranis-grosshandel-gmbh?utm_source=oberaargau","PROFIL ANSEHEN")</f>
        <v>PROFIL ANSEHEN</v>
      </c>
    </row>
    <row r="975" spans="1:12" x14ac:dyDescent="0.2">
      <c r="A975" t="s">
        <v>10592</v>
      </c>
      <c r="B975" t="s">
        <v>10593</v>
      </c>
      <c r="C975" t="s">
        <v>13</v>
      </c>
      <c r="E975" t="s">
        <v>10594</v>
      </c>
      <c r="F975">
        <v>4900</v>
      </c>
      <c r="G975" t="s">
        <v>41</v>
      </c>
      <c r="H975" t="s">
        <v>16</v>
      </c>
      <c r="I975" t="s">
        <v>4247</v>
      </c>
      <c r="J975" t="s">
        <v>4248</v>
      </c>
      <c r="K975" t="s">
        <v>1809</v>
      </c>
      <c r="L975" t="str">
        <f>HYPERLINK("https://business-monitor.ch/de/companies/1086238-praxis-dr-mathieu-ag?utm_source=oberaargau","PROFIL ANSEHEN")</f>
        <v>PROFIL ANSEHEN</v>
      </c>
    </row>
    <row r="976" spans="1:12" x14ac:dyDescent="0.2">
      <c r="A976" t="s">
        <v>10384</v>
      </c>
      <c r="B976" t="s">
        <v>10385</v>
      </c>
      <c r="C976" t="s">
        <v>1812</v>
      </c>
      <c r="E976" t="s">
        <v>2521</v>
      </c>
      <c r="F976">
        <v>4537</v>
      </c>
      <c r="G976" t="s">
        <v>113</v>
      </c>
      <c r="H976" t="s">
        <v>16</v>
      </c>
      <c r="I976" t="s">
        <v>10263</v>
      </c>
      <c r="J976" t="s">
        <v>10264</v>
      </c>
      <c r="K976" t="s">
        <v>1809</v>
      </c>
      <c r="L976" t="str">
        <f>HYPERLINK("https://business-monitor.ch/de/companies/208553-fritz-kraehenbuehl-pferdezucht-und-handel?utm_source=oberaargau","PROFIL ANSEHEN")</f>
        <v>PROFIL ANSEHEN</v>
      </c>
    </row>
    <row r="977" spans="1:12" x14ac:dyDescent="0.2">
      <c r="A977" t="s">
        <v>11754</v>
      </c>
      <c r="B977" t="s">
        <v>11755</v>
      </c>
      <c r="C977" t="s">
        <v>202</v>
      </c>
      <c r="E977" t="s">
        <v>11543</v>
      </c>
      <c r="F977">
        <v>4704</v>
      </c>
      <c r="G977" t="s">
        <v>221</v>
      </c>
      <c r="H977" t="s">
        <v>16</v>
      </c>
      <c r="I977" t="s">
        <v>77</v>
      </c>
      <c r="J977" t="s">
        <v>78</v>
      </c>
      <c r="K977" t="s">
        <v>1809</v>
      </c>
      <c r="L977" t="str">
        <f>HYPERLINK("https://business-monitor.ch/de/companies/1151880-mp-generalunternehmung-gmbh?utm_source=oberaargau","PROFIL ANSEHEN")</f>
        <v>PROFIL ANSEHEN</v>
      </c>
    </row>
    <row r="978" spans="1:12" x14ac:dyDescent="0.2">
      <c r="A978" t="s">
        <v>12922</v>
      </c>
      <c r="B978" t="s">
        <v>12923</v>
      </c>
      <c r="C978" t="s">
        <v>202</v>
      </c>
      <c r="E978" t="s">
        <v>1509</v>
      </c>
      <c r="F978">
        <v>4900</v>
      </c>
      <c r="G978" t="s">
        <v>41</v>
      </c>
      <c r="H978" t="s">
        <v>16</v>
      </c>
      <c r="I978" t="s">
        <v>5372</v>
      </c>
      <c r="J978" t="s">
        <v>5373</v>
      </c>
      <c r="K978" t="s">
        <v>1809</v>
      </c>
      <c r="L978" t="str">
        <f>HYPERLINK("https://business-monitor.ch/de/companies/1221059-oberhauser-steinmanufaktur-gmbh?utm_source=oberaargau","PROFIL ANSEHEN")</f>
        <v>PROFIL ANSEHEN</v>
      </c>
    </row>
    <row r="979" spans="1:12" x14ac:dyDescent="0.2">
      <c r="A979" t="s">
        <v>2163</v>
      </c>
      <c r="B979" t="s">
        <v>2164</v>
      </c>
      <c r="C979" t="s">
        <v>1812</v>
      </c>
      <c r="E979" t="s">
        <v>4738</v>
      </c>
      <c r="F979">
        <v>4922</v>
      </c>
      <c r="G979" t="s">
        <v>99</v>
      </c>
      <c r="H979" t="s">
        <v>16</v>
      </c>
      <c r="I979" t="s">
        <v>1855</v>
      </c>
      <c r="J979" t="s">
        <v>1856</v>
      </c>
      <c r="K979" t="s">
        <v>1809</v>
      </c>
      <c r="L979" t="str">
        <f>HYPERLINK("https://business-monitor.ch/de/companies/394521-beauty-center-kosmetik-michele-jacobs?utm_source=oberaargau","PROFIL ANSEHEN")</f>
        <v>PROFIL ANSEHEN</v>
      </c>
    </row>
    <row r="980" spans="1:12" x14ac:dyDescent="0.2">
      <c r="A980" t="s">
        <v>4702</v>
      </c>
      <c r="B980" t="s">
        <v>4703</v>
      </c>
      <c r="C980" t="s">
        <v>1812</v>
      </c>
      <c r="E980" t="s">
        <v>2191</v>
      </c>
      <c r="F980">
        <v>4932</v>
      </c>
      <c r="G980" t="s">
        <v>325</v>
      </c>
      <c r="H980" t="s">
        <v>16</v>
      </c>
      <c r="I980" t="s">
        <v>928</v>
      </c>
      <c r="J980" t="s">
        <v>929</v>
      </c>
      <c r="K980" t="s">
        <v>1809</v>
      </c>
      <c r="L980" t="str">
        <f>HYPERLINK("https://business-monitor.ch/de/companies/599805-giovanni-dutto?utm_source=oberaargau","PROFIL ANSEHEN")</f>
        <v>PROFIL ANSEHEN</v>
      </c>
    </row>
    <row r="981" spans="1:12" x14ac:dyDescent="0.2">
      <c r="A981" t="s">
        <v>10321</v>
      </c>
      <c r="B981" t="s">
        <v>10322</v>
      </c>
      <c r="C981" t="s">
        <v>13</v>
      </c>
      <c r="E981" t="s">
        <v>9723</v>
      </c>
      <c r="F981">
        <v>4537</v>
      </c>
      <c r="G981" t="s">
        <v>113</v>
      </c>
      <c r="H981" t="s">
        <v>16</v>
      </c>
      <c r="I981" t="s">
        <v>619</v>
      </c>
      <c r="J981" t="s">
        <v>620</v>
      </c>
      <c r="K981" t="s">
        <v>1809</v>
      </c>
      <c r="L981" t="str">
        <f>HYPERLINK("https://business-monitor.ch/de/companies/550333-holz-energie-wiedlisbach-ag?utm_source=oberaargau","PROFIL ANSEHEN")</f>
        <v>PROFIL ANSEHEN</v>
      </c>
    </row>
    <row r="982" spans="1:12" x14ac:dyDescent="0.2">
      <c r="A982" t="s">
        <v>7461</v>
      </c>
      <c r="B982" t="s">
        <v>7462</v>
      </c>
      <c r="C982" t="s">
        <v>13</v>
      </c>
      <c r="E982" t="s">
        <v>6513</v>
      </c>
      <c r="F982">
        <v>4704</v>
      </c>
      <c r="G982" t="s">
        <v>221</v>
      </c>
      <c r="H982" t="s">
        <v>16</v>
      </c>
      <c r="I982" t="s">
        <v>186</v>
      </c>
      <c r="J982" t="s">
        <v>187</v>
      </c>
      <c r="K982" t="s">
        <v>1809</v>
      </c>
      <c r="L982" t="str">
        <f>HYPERLINK("https://business-monitor.ch/de/companies/935025-lava-beteiligungen-ag?utm_source=oberaargau","PROFIL ANSEHEN")</f>
        <v>PROFIL ANSEHEN</v>
      </c>
    </row>
    <row r="983" spans="1:12" x14ac:dyDescent="0.2">
      <c r="A983" t="s">
        <v>5211</v>
      </c>
      <c r="B983" t="s">
        <v>5212</v>
      </c>
      <c r="C983" t="s">
        <v>202</v>
      </c>
      <c r="E983" t="s">
        <v>5213</v>
      </c>
      <c r="F983">
        <v>4900</v>
      </c>
      <c r="G983" t="s">
        <v>41</v>
      </c>
      <c r="H983" t="s">
        <v>16</v>
      </c>
      <c r="I983" t="s">
        <v>854</v>
      </c>
      <c r="J983" t="s">
        <v>855</v>
      </c>
      <c r="K983" t="s">
        <v>1809</v>
      </c>
      <c r="L983" t="str">
        <f>HYPERLINK("https://business-monitor.ch/de/companies/397657-anema-gmbh?utm_source=oberaargau","PROFIL ANSEHEN")</f>
        <v>PROFIL ANSEHEN</v>
      </c>
    </row>
    <row r="984" spans="1:12" x14ac:dyDescent="0.2">
      <c r="A984" t="s">
        <v>13827</v>
      </c>
      <c r="B984" t="s">
        <v>13828</v>
      </c>
      <c r="C984" t="s">
        <v>202</v>
      </c>
      <c r="E984" t="s">
        <v>13829</v>
      </c>
      <c r="F984">
        <v>4704</v>
      </c>
      <c r="G984" t="s">
        <v>221</v>
      </c>
      <c r="H984" t="s">
        <v>16</v>
      </c>
      <c r="I984" t="s">
        <v>14016</v>
      </c>
      <c r="J984" t="s">
        <v>14017</v>
      </c>
      <c r="K984" t="s">
        <v>1809</v>
      </c>
      <c r="L984" t="str">
        <f>HYPERLINK("https://business-monitor.ch/de/companies/1266470-sneper-gmbh?utm_source=oberaargau","PROFIL ANSEHEN")</f>
        <v>PROFIL ANSEHEN</v>
      </c>
    </row>
    <row r="985" spans="1:12" x14ac:dyDescent="0.2">
      <c r="A985" t="s">
        <v>14412</v>
      </c>
      <c r="B985" t="s">
        <v>14413</v>
      </c>
      <c r="C985" t="s">
        <v>2178</v>
      </c>
      <c r="E985" t="s">
        <v>14414</v>
      </c>
      <c r="F985">
        <v>4950</v>
      </c>
      <c r="G985" t="s">
        <v>15</v>
      </c>
      <c r="H985" t="s">
        <v>16</v>
      </c>
      <c r="I985" t="s">
        <v>134</v>
      </c>
      <c r="J985" t="s">
        <v>135</v>
      </c>
      <c r="K985" t="s">
        <v>1809</v>
      </c>
      <c r="L985" t="str">
        <f>HYPERLINK("https://business-monitor.ch/de/companies/1307631-ckw-gebaeudetechnik-ag?utm_source=oberaargau","PROFIL ANSEHEN")</f>
        <v>PROFIL ANSEHEN</v>
      </c>
    </row>
    <row r="986" spans="1:12" x14ac:dyDescent="0.2">
      <c r="A986" t="s">
        <v>5511</v>
      </c>
      <c r="B986" t="s">
        <v>5512</v>
      </c>
      <c r="C986" t="s">
        <v>1812</v>
      </c>
      <c r="E986" t="s">
        <v>5513</v>
      </c>
      <c r="F986">
        <v>4935</v>
      </c>
      <c r="G986" t="s">
        <v>443</v>
      </c>
      <c r="H986" t="s">
        <v>16</v>
      </c>
      <c r="I986" t="s">
        <v>464</v>
      </c>
      <c r="J986" t="s">
        <v>465</v>
      </c>
      <c r="K986" t="s">
        <v>1809</v>
      </c>
      <c r="L986" t="str">
        <f>HYPERLINK("https://business-monitor.ch/de/companies/123886-flueckiger-transporte?utm_source=oberaargau","PROFIL ANSEHEN")</f>
        <v>PROFIL ANSEHEN</v>
      </c>
    </row>
    <row r="987" spans="1:12" x14ac:dyDescent="0.2">
      <c r="A987" t="s">
        <v>13934</v>
      </c>
      <c r="B987" t="s">
        <v>13935</v>
      </c>
      <c r="C987" t="s">
        <v>202</v>
      </c>
      <c r="E987" t="s">
        <v>2184</v>
      </c>
      <c r="F987">
        <v>4538</v>
      </c>
      <c r="G987" t="s">
        <v>71</v>
      </c>
      <c r="H987" t="s">
        <v>16</v>
      </c>
      <c r="I987" t="s">
        <v>13109</v>
      </c>
      <c r="J987" t="s">
        <v>13110</v>
      </c>
      <c r="K987" t="s">
        <v>1809</v>
      </c>
      <c r="L987" t="str">
        <f>HYPERLINK("https://business-monitor.ch/de/companies/1271217-getraenke11-gmbh?utm_source=oberaargau","PROFIL ANSEHEN")</f>
        <v>PROFIL ANSEHEN</v>
      </c>
    </row>
    <row r="988" spans="1:12" x14ac:dyDescent="0.2">
      <c r="A988" t="s">
        <v>13894</v>
      </c>
      <c r="B988" t="s">
        <v>13895</v>
      </c>
      <c r="C988" t="s">
        <v>1812</v>
      </c>
      <c r="E988" t="s">
        <v>13896</v>
      </c>
      <c r="F988">
        <v>4900</v>
      </c>
      <c r="G988" t="s">
        <v>41</v>
      </c>
      <c r="H988" t="s">
        <v>16</v>
      </c>
      <c r="I988" t="s">
        <v>824</v>
      </c>
      <c r="J988" t="s">
        <v>825</v>
      </c>
      <c r="K988" t="s">
        <v>1809</v>
      </c>
      <c r="L988" t="str">
        <f>HYPERLINK("https://business-monitor.ch/de/companies/1270681-zum-wiener-inh-djordjevic?utm_source=oberaargau","PROFIL ANSEHEN")</f>
        <v>PROFIL ANSEHEN</v>
      </c>
    </row>
    <row r="989" spans="1:12" x14ac:dyDescent="0.2">
      <c r="A989" t="s">
        <v>11427</v>
      </c>
      <c r="B989" t="s">
        <v>11428</v>
      </c>
      <c r="C989" t="s">
        <v>1812</v>
      </c>
      <c r="E989" t="s">
        <v>11429</v>
      </c>
      <c r="F989">
        <v>4704</v>
      </c>
      <c r="G989" t="s">
        <v>221</v>
      </c>
      <c r="H989" t="s">
        <v>16</v>
      </c>
      <c r="I989" t="s">
        <v>1193</v>
      </c>
      <c r="J989" t="s">
        <v>1194</v>
      </c>
      <c r="K989" t="s">
        <v>1809</v>
      </c>
      <c r="L989" t="str">
        <f>HYPERLINK("https://business-monitor.ch/de/companies/1132849-cordari-bueroservice?utm_source=oberaargau","PROFIL ANSEHEN")</f>
        <v>PROFIL ANSEHEN</v>
      </c>
    </row>
    <row r="990" spans="1:12" x14ac:dyDescent="0.2">
      <c r="A990" t="s">
        <v>9465</v>
      </c>
      <c r="B990" t="s">
        <v>12408</v>
      </c>
      <c r="C990" t="s">
        <v>2258</v>
      </c>
      <c r="E990" t="s">
        <v>823</v>
      </c>
      <c r="F990">
        <v>4950</v>
      </c>
      <c r="G990" t="s">
        <v>15</v>
      </c>
      <c r="H990" t="s">
        <v>16</v>
      </c>
      <c r="I990" t="s">
        <v>640</v>
      </c>
      <c r="J990" t="s">
        <v>641</v>
      </c>
      <c r="K990" t="s">
        <v>1809</v>
      </c>
      <c r="L990" t="str">
        <f>HYPERLINK("https://business-monitor.ch/de/companies/130471-pro-regio-huttwil-event-und-tourismusverein?utm_source=oberaargau","PROFIL ANSEHEN")</f>
        <v>PROFIL ANSEHEN</v>
      </c>
    </row>
    <row r="991" spans="1:12" x14ac:dyDescent="0.2">
      <c r="A991" t="s">
        <v>10097</v>
      </c>
      <c r="B991" t="s">
        <v>10098</v>
      </c>
      <c r="C991" t="s">
        <v>1812</v>
      </c>
      <c r="E991" t="s">
        <v>10099</v>
      </c>
      <c r="F991">
        <v>4933</v>
      </c>
      <c r="G991" t="s">
        <v>3812</v>
      </c>
      <c r="H991" t="s">
        <v>16</v>
      </c>
      <c r="I991" t="s">
        <v>748</v>
      </c>
      <c r="J991" t="s">
        <v>749</v>
      </c>
      <c r="K991" t="s">
        <v>1809</v>
      </c>
      <c r="L991" t="str">
        <f>HYPERLINK("https://business-monitor.ch/de/companies/676263-peter-mathys?utm_source=oberaargau","PROFIL ANSEHEN")</f>
        <v>PROFIL ANSEHEN</v>
      </c>
    </row>
    <row r="992" spans="1:12" x14ac:dyDescent="0.2">
      <c r="A992" t="s">
        <v>14025</v>
      </c>
      <c r="B992" t="s">
        <v>14026</v>
      </c>
      <c r="C992" t="s">
        <v>13</v>
      </c>
      <c r="E992" t="s">
        <v>1632</v>
      </c>
      <c r="F992">
        <v>4950</v>
      </c>
      <c r="G992" t="s">
        <v>15</v>
      </c>
      <c r="H992" t="s">
        <v>16</v>
      </c>
      <c r="I992" t="s">
        <v>182</v>
      </c>
      <c r="J992" t="s">
        <v>183</v>
      </c>
      <c r="K992" t="s">
        <v>1809</v>
      </c>
      <c r="L992" t="str">
        <f>HYPERLINK("https://business-monitor.ch/de/companies/1273474-biketec-beteiligungs-ag?utm_source=oberaargau","PROFIL ANSEHEN")</f>
        <v>PROFIL ANSEHEN</v>
      </c>
    </row>
    <row r="993" spans="1:12" x14ac:dyDescent="0.2">
      <c r="A993" t="s">
        <v>7767</v>
      </c>
      <c r="B993" t="s">
        <v>7768</v>
      </c>
      <c r="C993" t="s">
        <v>1812</v>
      </c>
      <c r="E993" t="s">
        <v>7769</v>
      </c>
      <c r="F993">
        <v>3363</v>
      </c>
      <c r="G993" t="s">
        <v>1367</v>
      </c>
      <c r="H993" t="s">
        <v>16</v>
      </c>
      <c r="I993" t="s">
        <v>1097</v>
      </c>
      <c r="J993" t="s">
        <v>1098</v>
      </c>
      <c r="K993" t="s">
        <v>1809</v>
      </c>
      <c r="L993" t="str">
        <f>HYPERLINK("https://business-monitor.ch/de/companies/577813-fishing-shop-ch-tokgoez?utm_source=oberaargau","PROFIL ANSEHEN")</f>
        <v>PROFIL ANSEHEN</v>
      </c>
    </row>
    <row r="994" spans="1:12" x14ac:dyDescent="0.2">
      <c r="A994" t="s">
        <v>11447</v>
      </c>
      <c r="B994" t="s">
        <v>11448</v>
      </c>
      <c r="C994" t="s">
        <v>1812</v>
      </c>
      <c r="E994" t="s">
        <v>11449</v>
      </c>
      <c r="F994">
        <v>4900</v>
      </c>
      <c r="G994" t="s">
        <v>41</v>
      </c>
      <c r="H994" t="s">
        <v>16</v>
      </c>
      <c r="I994" t="s">
        <v>1401</v>
      </c>
      <c r="J994" t="s">
        <v>1402</v>
      </c>
      <c r="K994" t="s">
        <v>1809</v>
      </c>
      <c r="L994" t="str">
        <f>HYPERLINK("https://business-monitor.ch/de/companies/636210-mohnblume-blumenatelier-christine-saegesser?utm_source=oberaargau","PROFIL ANSEHEN")</f>
        <v>PROFIL ANSEHEN</v>
      </c>
    </row>
    <row r="995" spans="1:12" x14ac:dyDescent="0.2">
      <c r="A995" t="s">
        <v>8393</v>
      </c>
      <c r="B995" t="s">
        <v>8394</v>
      </c>
      <c r="C995" t="s">
        <v>1812</v>
      </c>
      <c r="F995">
        <v>4952</v>
      </c>
      <c r="G995" t="s">
        <v>474</v>
      </c>
      <c r="H995" t="s">
        <v>16</v>
      </c>
      <c r="I995" t="s">
        <v>845</v>
      </c>
      <c r="J995" t="s">
        <v>846</v>
      </c>
      <c r="K995" t="s">
        <v>1809</v>
      </c>
      <c r="L995" t="str">
        <f>HYPERLINK("https://business-monitor.ch/de/companies/22444-hp-jost?utm_source=oberaargau","PROFIL ANSEHEN")</f>
        <v>PROFIL ANSEHEN</v>
      </c>
    </row>
    <row r="996" spans="1:12" x14ac:dyDescent="0.2">
      <c r="A996" t="s">
        <v>10195</v>
      </c>
      <c r="B996" t="s">
        <v>10196</v>
      </c>
      <c r="C996" t="s">
        <v>1812</v>
      </c>
      <c r="E996" t="s">
        <v>1346</v>
      </c>
      <c r="F996">
        <v>4950</v>
      </c>
      <c r="G996" t="s">
        <v>15</v>
      </c>
      <c r="H996" t="s">
        <v>16</v>
      </c>
      <c r="I996" t="s">
        <v>4039</v>
      </c>
      <c r="J996" t="s">
        <v>4040</v>
      </c>
      <c r="K996" t="s">
        <v>1809</v>
      </c>
      <c r="L996" t="str">
        <f>HYPERLINK("https://business-monitor.ch/de/companies/626743-andy-s-gym-inhaber-beat-vonmoos?utm_source=oberaargau","PROFIL ANSEHEN")</f>
        <v>PROFIL ANSEHEN</v>
      </c>
    </row>
    <row r="997" spans="1:12" x14ac:dyDescent="0.2">
      <c r="A997" t="s">
        <v>840</v>
      </c>
      <c r="B997" t="s">
        <v>841</v>
      </c>
      <c r="C997" t="s">
        <v>13</v>
      </c>
      <c r="E997" t="s">
        <v>842</v>
      </c>
      <c r="F997">
        <v>4900</v>
      </c>
      <c r="G997" t="s">
        <v>41</v>
      </c>
      <c r="H997" t="s">
        <v>16</v>
      </c>
      <c r="I997" t="s">
        <v>671</v>
      </c>
      <c r="J997" t="s">
        <v>672</v>
      </c>
      <c r="K997" t="s">
        <v>1809</v>
      </c>
      <c r="L997" t="str">
        <f>HYPERLINK("https://business-monitor.ch/de/companies/539113-haslipraxis-ag?utm_source=oberaargau","PROFIL ANSEHEN")</f>
        <v>PROFIL ANSEHEN</v>
      </c>
    </row>
    <row r="998" spans="1:12" x14ac:dyDescent="0.2">
      <c r="A998" t="s">
        <v>2402</v>
      </c>
      <c r="B998" t="s">
        <v>2403</v>
      </c>
      <c r="C998" t="s">
        <v>13</v>
      </c>
      <c r="F998">
        <v>4937</v>
      </c>
      <c r="G998" t="s">
        <v>951</v>
      </c>
      <c r="H998" t="s">
        <v>16</v>
      </c>
      <c r="I998" t="s">
        <v>134</v>
      </c>
      <c r="J998" t="s">
        <v>135</v>
      </c>
      <c r="K998" t="s">
        <v>1809</v>
      </c>
      <c r="L998" t="str">
        <f>HYPERLINK("https://business-monitor.ch/de/companies/24234-elektro-feldmann-ag-ursenbach?utm_source=oberaargau","PROFIL ANSEHEN")</f>
        <v>PROFIL ANSEHEN</v>
      </c>
    </row>
    <row r="999" spans="1:12" x14ac:dyDescent="0.2">
      <c r="A999" t="s">
        <v>13696</v>
      </c>
      <c r="B999" t="s">
        <v>13697</v>
      </c>
      <c r="C999" t="s">
        <v>202</v>
      </c>
      <c r="E999" t="s">
        <v>10359</v>
      </c>
      <c r="F999">
        <v>4900</v>
      </c>
      <c r="G999" t="s">
        <v>41</v>
      </c>
      <c r="H999" t="s">
        <v>16</v>
      </c>
      <c r="I999" t="s">
        <v>1860</v>
      </c>
      <c r="J999" t="s">
        <v>1861</v>
      </c>
      <c r="K999" t="s">
        <v>1809</v>
      </c>
      <c r="L999" t="str">
        <f>HYPERLINK("https://business-monitor.ch/de/companies/1266065-art-of-hair-coiffure-gsponer-gmbh?utm_source=oberaargau","PROFIL ANSEHEN")</f>
        <v>PROFIL ANSEHEN</v>
      </c>
    </row>
    <row r="1000" spans="1:12" x14ac:dyDescent="0.2">
      <c r="A1000" t="s">
        <v>10760</v>
      </c>
      <c r="B1000" t="s">
        <v>10761</v>
      </c>
      <c r="C1000" t="s">
        <v>202</v>
      </c>
      <c r="E1000" t="s">
        <v>7910</v>
      </c>
      <c r="F1000">
        <v>4923</v>
      </c>
      <c r="G1000" t="s">
        <v>732</v>
      </c>
      <c r="H1000" t="s">
        <v>16</v>
      </c>
      <c r="I1000" t="s">
        <v>232</v>
      </c>
      <c r="J1000" t="s">
        <v>233</v>
      </c>
      <c r="K1000" t="s">
        <v>1809</v>
      </c>
      <c r="L1000" t="str">
        <f>HYPERLINK("https://business-monitor.ch/de/companies/694368-bt-management-group-gmbh?utm_source=oberaargau","PROFIL ANSEHEN")</f>
        <v>PROFIL ANSEHEN</v>
      </c>
    </row>
    <row r="1001" spans="1:12" x14ac:dyDescent="0.2">
      <c r="A1001" t="s">
        <v>2777</v>
      </c>
      <c r="B1001" t="s">
        <v>2778</v>
      </c>
      <c r="C1001" t="s">
        <v>13</v>
      </c>
      <c r="E1001" t="s">
        <v>2779</v>
      </c>
      <c r="F1001">
        <v>3366</v>
      </c>
      <c r="G1001" t="s">
        <v>2780</v>
      </c>
      <c r="H1001" t="s">
        <v>16</v>
      </c>
      <c r="I1001" t="s">
        <v>1446</v>
      </c>
      <c r="J1001" t="s">
        <v>1447</v>
      </c>
      <c r="K1001" t="s">
        <v>1809</v>
      </c>
      <c r="L1001" t="str">
        <f>HYPERLINK("https://business-monitor.ch/de/companies/294973-uebersax-partner-haustechnik-ag?utm_source=oberaargau","PROFIL ANSEHEN")</f>
        <v>PROFIL ANSEHEN</v>
      </c>
    </row>
    <row r="1002" spans="1:12" x14ac:dyDescent="0.2">
      <c r="A1002" t="s">
        <v>3398</v>
      </c>
      <c r="B1002" t="s">
        <v>3399</v>
      </c>
      <c r="C1002" t="s">
        <v>1812</v>
      </c>
      <c r="E1002" t="s">
        <v>2073</v>
      </c>
      <c r="F1002">
        <v>3360</v>
      </c>
      <c r="G1002" t="s">
        <v>35</v>
      </c>
      <c r="H1002" t="s">
        <v>16</v>
      </c>
      <c r="I1002" t="s">
        <v>1918</v>
      </c>
      <c r="J1002" t="s">
        <v>1919</v>
      </c>
      <c r="K1002" t="s">
        <v>1809</v>
      </c>
      <c r="L1002" t="str">
        <f>HYPERLINK("https://business-monitor.ch/de/companies/196875-leist-optik?utm_source=oberaargau","PROFIL ANSEHEN")</f>
        <v>PROFIL ANSEHEN</v>
      </c>
    </row>
    <row r="1003" spans="1:12" x14ac:dyDescent="0.2">
      <c r="A1003" t="s">
        <v>13844</v>
      </c>
      <c r="B1003" t="s">
        <v>13845</v>
      </c>
      <c r="C1003" t="s">
        <v>202</v>
      </c>
      <c r="D1003" t="s">
        <v>13846</v>
      </c>
      <c r="E1003" t="s">
        <v>7193</v>
      </c>
      <c r="F1003">
        <v>3363</v>
      </c>
      <c r="G1003" t="s">
        <v>1367</v>
      </c>
      <c r="H1003" t="s">
        <v>16</v>
      </c>
      <c r="I1003" t="s">
        <v>1865</v>
      </c>
      <c r="J1003" t="s">
        <v>1866</v>
      </c>
      <c r="K1003" t="s">
        <v>1809</v>
      </c>
      <c r="L1003" t="str">
        <f>HYPERLINK("https://business-monitor.ch/de/companies/1277020-corry-care-gmbh?utm_source=oberaargau","PROFIL ANSEHEN")</f>
        <v>PROFIL ANSEHEN</v>
      </c>
    </row>
    <row r="1004" spans="1:12" x14ac:dyDescent="0.2">
      <c r="A1004" t="s">
        <v>13665</v>
      </c>
      <c r="B1004" t="s">
        <v>13666</v>
      </c>
      <c r="C1004" t="s">
        <v>202</v>
      </c>
      <c r="E1004" t="s">
        <v>10128</v>
      </c>
      <c r="F1004">
        <v>4952</v>
      </c>
      <c r="G1004" t="s">
        <v>474</v>
      </c>
      <c r="H1004" t="s">
        <v>16</v>
      </c>
      <c r="I1004" t="s">
        <v>24</v>
      </c>
      <c r="J1004" t="s">
        <v>25</v>
      </c>
      <c r="K1004" t="s">
        <v>1809</v>
      </c>
      <c r="L1004" t="str">
        <f>HYPERLINK("https://business-monitor.ch/de/companies/1265242-loosli-informatik-gmbh?utm_source=oberaargau","PROFIL ANSEHEN")</f>
        <v>PROFIL ANSEHEN</v>
      </c>
    </row>
    <row r="1005" spans="1:12" x14ac:dyDescent="0.2">
      <c r="A1005" t="s">
        <v>1879</v>
      </c>
      <c r="B1005" t="s">
        <v>1880</v>
      </c>
      <c r="C1005" t="s">
        <v>202</v>
      </c>
      <c r="D1005" t="s">
        <v>1881</v>
      </c>
      <c r="E1005" t="s">
        <v>1882</v>
      </c>
      <c r="F1005">
        <v>4952</v>
      </c>
      <c r="G1005" t="s">
        <v>474</v>
      </c>
      <c r="H1005" t="s">
        <v>16</v>
      </c>
      <c r="I1005" t="s">
        <v>781</v>
      </c>
      <c r="J1005" t="s">
        <v>782</v>
      </c>
      <c r="K1005" t="s">
        <v>1809</v>
      </c>
      <c r="L1005" t="str">
        <f>HYPERLINK("https://business-monitor.ch/de/companies/515107-tanner-service-gmbh?utm_source=oberaargau","PROFIL ANSEHEN")</f>
        <v>PROFIL ANSEHEN</v>
      </c>
    </row>
    <row r="1006" spans="1:12" x14ac:dyDescent="0.2">
      <c r="A1006" t="s">
        <v>7095</v>
      </c>
      <c r="B1006" t="s">
        <v>7096</v>
      </c>
      <c r="C1006" t="s">
        <v>13</v>
      </c>
      <c r="E1006" t="s">
        <v>7097</v>
      </c>
      <c r="F1006">
        <v>4914</v>
      </c>
      <c r="G1006" t="s">
        <v>105</v>
      </c>
      <c r="H1006" t="s">
        <v>16</v>
      </c>
      <c r="I1006" t="s">
        <v>260</v>
      </c>
      <c r="J1006" t="s">
        <v>261</v>
      </c>
      <c r="K1006" t="s">
        <v>1809</v>
      </c>
      <c r="L1006" t="str">
        <f>HYPERLINK("https://business-monitor.ch/de/companies/577337-swiss-dach-solutions-ag?utm_source=oberaargau","PROFIL ANSEHEN")</f>
        <v>PROFIL ANSEHEN</v>
      </c>
    </row>
    <row r="1007" spans="1:12" x14ac:dyDescent="0.2">
      <c r="A1007" t="s">
        <v>11281</v>
      </c>
      <c r="B1007" t="s">
        <v>14181</v>
      </c>
      <c r="C1007" t="s">
        <v>202</v>
      </c>
      <c r="E1007" t="s">
        <v>14182</v>
      </c>
      <c r="F1007">
        <v>3362</v>
      </c>
      <c r="G1007" t="s">
        <v>47</v>
      </c>
      <c r="H1007" t="s">
        <v>16</v>
      </c>
      <c r="I1007" t="s">
        <v>72</v>
      </c>
      <c r="J1007" t="s">
        <v>73</v>
      </c>
      <c r="K1007" t="s">
        <v>1809</v>
      </c>
      <c r="L1007" t="str">
        <f>HYPERLINK("https://business-monitor.ch/de/companies/1282842-arjen-gmbh?utm_source=oberaargau","PROFIL ANSEHEN")</f>
        <v>PROFIL ANSEHEN</v>
      </c>
    </row>
    <row r="1008" spans="1:12" x14ac:dyDescent="0.2">
      <c r="A1008" t="s">
        <v>13989</v>
      </c>
      <c r="B1008" t="s">
        <v>13990</v>
      </c>
      <c r="C1008" t="s">
        <v>202</v>
      </c>
      <c r="E1008" t="s">
        <v>13991</v>
      </c>
      <c r="F1008">
        <v>3362</v>
      </c>
      <c r="G1008" t="s">
        <v>47</v>
      </c>
      <c r="H1008" t="s">
        <v>16</v>
      </c>
      <c r="I1008" t="s">
        <v>2842</v>
      </c>
      <c r="J1008" t="s">
        <v>2843</v>
      </c>
      <c r="K1008" t="s">
        <v>1809</v>
      </c>
      <c r="L1008" t="str">
        <f>HYPERLINK("https://business-monitor.ch/de/companies/545353-softflow-gmbh?utm_source=oberaargau","PROFIL ANSEHEN")</f>
        <v>PROFIL ANSEHEN</v>
      </c>
    </row>
    <row r="1009" spans="1:12" x14ac:dyDescent="0.2">
      <c r="A1009" t="s">
        <v>9601</v>
      </c>
      <c r="B1009" t="s">
        <v>11847</v>
      </c>
      <c r="C1009" t="s">
        <v>1827</v>
      </c>
      <c r="E1009" t="s">
        <v>9602</v>
      </c>
      <c r="F1009">
        <v>4917</v>
      </c>
      <c r="G1009" t="s">
        <v>376</v>
      </c>
      <c r="H1009" t="s">
        <v>16</v>
      </c>
      <c r="I1009" t="s">
        <v>551</v>
      </c>
      <c r="J1009" t="s">
        <v>552</v>
      </c>
      <c r="K1009" t="s">
        <v>1809</v>
      </c>
      <c r="L1009" t="str">
        <f>HYPERLINK("https://business-monitor.ch/de/companies/633723-management-beauty-klg?utm_source=oberaargau","PROFIL ANSEHEN")</f>
        <v>PROFIL ANSEHEN</v>
      </c>
    </row>
    <row r="1010" spans="1:12" x14ac:dyDescent="0.2">
      <c r="A1010" t="s">
        <v>11409</v>
      </c>
      <c r="B1010" t="s">
        <v>11410</v>
      </c>
      <c r="C1010" t="s">
        <v>13</v>
      </c>
      <c r="E1010" t="s">
        <v>11411</v>
      </c>
      <c r="F1010">
        <v>4950</v>
      </c>
      <c r="G1010" t="s">
        <v>15</v>
      </c>
      <c r="H1010" t="s">
        <v>16</v>
      </c>
      <c r="I1010" t="s">
        <v>5080</v>
      </c>
      <c r="J1010" t="s">
        <v>5081</v>
      </c>
      <c r="K1010" t="s">
        <v>1809</v>
      </c>
      <c r="L1010" t="str">
        <f>HYPERLINK("https://business-monitor.ch/de/companies/1131904-kibe-region-huttwil-ag?utm_source=oberaargau","PROFIL ANSEHEN")</f>
        <v>PROFIL ANSEHEN</v>
      </c>
    </row>
    <row r="1011" spans="1:12" x14ac:dyDescent="0.2">
      <c r="A1011" t="s">
        <v>3845</v>
      </c>
      <c r="B1011" t="s">
        <v>3846</v>
      </c>
      <c r="C1011" t="s">
        <v>202</v>
      </c>
      <c r="E1011" t="s">
        <v>1228</v>
      </c>
      <c r="F1011">
        <v>4900</v>
      </c>
      <c r="G1011" t="s">
        <v>41</v>
      </c>
      <c r="H1011" t="s">
        <v>16</v>
      </c>
      <c r="I1011" t="s">
        <v>260</v>
      </c>
      <c r="J1011" t="s">
        <v>261</v>
      </c>
      <c r="K1011" t="s">
        <v>1809</v>
      </c>
      <c r="L1011" t="str">
        <f>HYPERLINK("https://business-monitor.ch/de/companies/646893-lena-plan-gmbh?utm_source=oberaargau","PROFIL ANSEHEN")</f>
        <v>PROFIL ANSEHEN</v>
      </c>
    </row>
    <row r="1012" spans="1:12" x14ac:dyDescent="0.2">
      <c r="A1012" t="s">
        <v>10279</v>
      </c>
      <c r="B1012" t="s">
        <v>10280</v>
      </c>
      <c r="C1012" t="s">
        <v>202</v>
      </c>
      <c r="E1012" t="s">
        <v>3934</v>
      </c>
      <c r="F1012">
        <v>4900</v>
      </c>
      <c r="G1012" t="s">
        <v>41</v>
      </c>
      <c r="H1012" t="s">
        <v>16</v>
      </c>
      <c r="I1012" t="s">
        <v>1766</v>
      </c>
      <c r="J1012" t="s">
        <v>1767</v>
      </c>
      <c r="K1012" t="s">
        <v>1809</v>
      </c>
      <c r="L1012" t="str">
        <f>HYPERLINK("https://business-monitor.ch/de/companies/573332-capitol-estate-gmbh?utm_source=oberaargau","PROFIL ANSEHEN")</f>
        <v>PROFIL ANSEHEN</v>
      </c>
    </row>
    <row r="1013" spans="1:12" x14ac:dyDescent="0.2">
      <c r="A1013" t="s">
        <v>5020</v>
      </c>
      <c r="B1013" t="s">
        <v>5021</v>
      </c>
      <c r="C1013" t="s">
        <v>13</v>
      </c>
      <c r="D1013" t="s">
        <v>13555</v>
      </c>
      <c r="E1013" t="s">
        <v>13556</v>
      </c>
      <c r="F1013">
        <v>4932</v>
      </c>
      <c r="G1013" t="s">
        <v>325</v>
      </c>
      <c r="H1013" t="s">
        <v>16</v>
      </c>
      <c r="I1013" t="s">
        <v>854</v>
      </c>
      <c r="J1013" t="s">
        <v>855</v>
      </c>
      <c r="K1013" t="s">
        <v>1809</v>
      </c>
      <c r="L1013" t="str">
        <f>HYPERLINK("https://business-monitor.ch/de/companies/926649-arlusi-ag?utm_source=oberaargau","PROFIL ANSEHEN")</f>
        <v>PROFIL ANSEHEN</v>
      </c>
    </row>
    <row r="1014" spans="1:12" x14ac:dyDescent="0.2">
      <c r="A1014" t="s">
        <v>14415</v>
      </c>
      <c r="B1014" t="s">
        <v>14416</v>
      </c>
      <c r="C1014" t="s">
        <v>1827</v>
      </c>
      <c r="E1014" t="s">
        <v>3190</v>
      </c>
      <c r="F1014">
        <v>4900</v>
      </c>
      <c r="G1014" t="s">
        <v>41</v>
      </c>
      <c r="H1014" t="s">
        <v>16</v>
      </c>
      <c r="I1014" t="s">
        <v>3850</v>
      </c>
      <c r="J1014" t="s">
        <v>3851</v>
      </c>
      <c r="K1014" t="s">
        <v>1809</v>
      </c>
      <c r="L1014" t="str">
        <f>HYPERLINK("https://business-monitor.ch/de/companies/1309640-holundr-klg?utm_source=oberaargau","PROFIL ANSEHEN")</f>
        <v>PROFIL ANSEHEN</v>
      </c>
    </row>
    <row r="1015" spans="1:12" x14ac:dyDescent="0.2">
      <c r="A1015" t="s">
        <v>4648</v>
      </c>
      <c r="B1015" t="s">
        <v>4649</v>
      </c>
      <c r="C1015" t="s">
        <v>202</v>
      </c>
      <c r="E1015" t="s">
        <v>4650</v>
      </c>
      <c r="F1015">
        <v>4900</v>
      </c>
      <c r="G1015" t="s">
        <v>41</v>
      </c>
      <c r="H1015" t="s">
        <v>16</v>
      </c>
      <c r="I1015" t="s">
        <v>940</v>
      </c>
      <c r="J1015" t="s">
        <v>941</v>
      </c>
      <c r="K1015" t="s">
        <v>1809</v>
      </c>
      <c r="L1015" t="str">
        <f>HYPERLINK("https://business-monitor.ch/de/companies/621695-bar-gelateria-riva-gmbh?utm_source=oberaargau","PROFIL ANSEHEN")</f>
        <v>PROFIL ANSEHEN</v>
      </c>
    </row>
    <row r="1016" spans="1:12" x14ac:dyDescent="0.2">
      <c r="A1016" t="s">
        <v>4958</v>
      </c>
      <c r="B1016" t="s">
        <v>4959</v>
      </c>
      <c r="C1016" t="s">
        <v>1812</v>
      </c>
      <c r="E1016" t="s">
        <v>4960</v>
      </c>
      <c r="F1016">
        <v>4900</v>
      </c>
      <c r="G1016" t="s">
        <v>41</v>
      </c>
      <c r="H1016" t="s">
        <v>16</v>
      </c>
      <c r="I1016" t="s">
        <v>2327</v>
      </c>
      <c r="J1016" t="s">
        <v>2328</v>
      </c>
      <c r="K1016" t="s">
        <v>1809</v>
      </c>
      <c r="L1016" t="str">
        <f>HYPERLINK("https://business-monitor.ch/de/companies/283572-ernst-haeusermann-zum-gartemaa?utm_source=oberaargau","PROFIL ANSEHEN")</f>
        <v>PROFIL ANSEHEN</v>
      </c>
    </row>
    <row r="1017" spans="1:12" x14ac:dyDescent="0.2">
      <c r="A1017" t="s">
        <v>9698</v>
      </c>
      <c r="B1017" t="s">
        <v>9699</v>
      </c>
      <c r="C1017" t="s">
        <v>13</v>
      </c>
      <c r="E1017" t="s">
        <v>9700</v>
      </c>
      <c r="F1017">
        <v>4900</v>
      </c>
      <c r="G1017" t="s">
        <v>41</v>
      </c>
      <c r="H1017" t="s">
        <v>16</v>
      </c>
      <c r="I1017" t="s">
        <v>186</v>
      </c>
      <c r="J1017" t="s">
        <v>187</v>
      </c>
      <c r="K1017" t="s">
        <v>1809</v>
      </c>
      <c r="L1017" t="str">
        <f>HYPERLINK("https://business-monitor.ch/de/companies/1049539-bf-management-ag?utm_source=oberaargau","PROFIL ANSEHEN")</f>
        <v>PROFIL ANSEHEN</v>
      </c>
    </row>
    <row r="1018" spans="1:12" x14ac:dyDescent="0.2">
      <c r="A1018" t="s">
        <v>7985</v>
      </c>
      <c r="B1018" t="s">
        <v>7986</v>
      </c>
      <c r="C1018" t="s">
        <v>13</v>
      </c>
      <c r="E1018" t="s">
        <v>2437</v>
      </c>
      <c r="F1018">
        <v>4922</v>
      </c>
      <c r="G1018" t="s">
        <v>99</v>
      </c>
      <c r="H1018" t="s">
        <v>16</v>
      </c>
      <c r="I1018" t="s">
        <v>6550</v>
      </c>
      <c r="J1018" t="s">
        <v>6551</v>
      </c>
      <c r="K1018" t="s">
        <v>1809</v>
      </c>
      <c r="L1018" t="str">
        <f>HYPERLINK("https://business-monitor.ch/de/companies/1087272-winkelmann-viehhandel-ag?utm_source=oberaargau","PROFIL ANSEHEN")</f>
        <v>PROFIL ANSEHEN</v>
      </c>
    </row>
    <row r="1019" spans="1:12" x14ac:dyDescent="0.2">
      <c r="A1019" t="s">
        <v>13557</v>
      </c>
      <c r="B1019" t="s">
        <v>13558</v>
      </c>
      <c r="C1019" t="s">
        <v>202</v>
      </c>
      <c r="E1019" t="s">
        <v>11890</v>
      </c>
      <c r="F1019">
        <v>4539</v>
      </c>
      <c r="G1019" t="s">
        <v>1134</v>
      </c>
      <c r="H1019" t="s">
        <v>16</v>
      </c>
      <c r="I1019" t="s">
        <v>167</v>
      </c>
      <c r="J1019" t="s">
        <v>168</v>
      </c>
      <c r="K1019" t="s">
        <v>1809</v>
      </c>
      <c r="L1019" t="str">
        <f>HYPERLINK("https://business-monitor.ch/de/companies/1255488-bolli-daniel-ihr-joker-gmbh?utm_source=oberaargau","PROFIL ANSEHEN")</f>
        <v>PROFIL ANSEHEN</v>
      </c>
    </row>
    <row r="1020" spans="1:12" x14ac:dyDescent="0.2">
      <c r="A1020" t="s">
        <v>9566</v>
      </c>
      <c r="B1020" t="s">
        <v>9567</v>
      </c>
      <c r="C1020" t="s">
        <v>202</v>
      </c>
      <c r="E1020" t="s">
        <v>9568</v>
      </c>
      <c r="F1020">
        <v>4914</v>
      </c>
      <c r="G1020" t="s">
        <v>105</v>
      </c>
      <c r="H1020" t="s">
        <v>16</v>
      </c>
      <c r="I1020" t="s">
        <v>4569</v>
      </c>
      <c r="J1020" t="s">
        <v>4570</v>
      </c>
      <c r="K1020" t="s">
        <v>1809</v>
      </c>
      <c r="L1020" t="str">
        <f>HYPERLINK("https://business-monitor.ch/de/companies/720206-surprise-band-gmbh?utm_source=oberaargau","PROFIL ANSEHEN")</f>
        <v>PROFIL ANSEHEN</v>
      </c>
    </row>
    <row r="1021" spans="1:12" x14ac:dyDescent="0.2">
      <c r="A1021" t="s">
        <v>9399</v>
      </c>
      <c r="B1021" t="s">
        <v>9400</v>
      </c>
      <c r="C1021" t="s">
        <v>13</v>
      </c>
      <c r="E1021" t="s">
        <v>5665</v>
      </c>
      <c r="F1021">
        <v>4934</v>
      </c>
      <c r="G1021" t="s">
        <v>670</v>
      </c>
      <c r="H1021" t="s">
        <v>16</v>
      </c>
      <c r="I1021" t="s">
        <v>2587</v>
      </c>
      <c r="J1021" t="s">
        <v>2588</v>
      </c>
      <c r="K1021" t="s">
        <v>1809</v>
      </c>
      <c r="L1021" t="str">
        <f>HYPERLINK("https://business-monitor.ch/de/companies/48013-mc-electrade-ag?utm_source=oberaargau","PROFIL ANSEHEN")</f>
        <v>PROFIL ANSEHEN</v>
      </c>
    </row>
    <row r="1022" spans="1:12" x14ac:dyDescent="0.2">
      <c r="A1022" t="s">
        <v>4078</v>
      </c>
      <c r="B1022" t="s">
        <v>4079</v>
      </c>
      <c r="C1022" t="s">
        <v>1812</v>
      </c>
      <c r="E1022" t="s">
        <v>4080</v>
      </c>
      <c r="F1022">
        <v>3360</v>
      </c>
      <c r="G1022" t="s">
        <v>35</v>
      </c>
      <c r="H1022" t="s">
        <v>16</v>
      </c>
      <c r="I1022" t="s">
        <v>1855</v>
      </c>
      <c r="J1022" t="s">
        <v>1856</v>
      </c>
      <c r="K1022" t="s">
        <v>1809</v>
      </c>
      <c r="L1022" t="str">
        <f>HYPERLINK("https://business-monitor.ch/de/companies/1048253-praxis-fuer-medizinische-und-kosmetische-mikropigmentation-brigitte-althaus?utm_source=oberaargau","PROFIL ANSEHEN")</f>
        <v>PROFIL ANSEHEN</v>
      </c>
    </row>
    <row r="1023" spans="1:12" x14ac:dyDescent="0.2">
      <c r="A1023" t="s">
        <v>6935</v>
      </c>
      <c r="B1023" t="s">
        <v>6936</v>
      </c>
      <c r="C1023" t="s">
        <v>13</v>
      </c>
      <c r="E1023" t="s">
        <v>1365</v>
      </c>
      <c r="F1023">
        <v>4923</v>
      </c>
      <c r="G1023" t="s">
        <v>732</v>
      </c>
      <c r="H1023" t="s">
        <v>16</v>
      </c>
      <c r="I1023" t="s">
        <v>182</v>
      </c>
      <c r="J1023" t="s">
        <v>183</v>
      </c>
      <c r="K1023" t="s">
        <v>1809</v>
      </c>
      <c r="L1023" t="str">
        <f>HYPERLINK("https://business-monitor.ch/de/companies/1056265-nagena-holding-ag?utm_source=oberaargau","PROFIL ANSEHEN")</f>
        <v>PROFIL ANSEHEN</v>
      </c>
    </row>
    <row r="1024" spans="1:12" x14ac:dyDescent="0.2">
      <c r="A1024" t="s">
        <v>3979</v>
      </c>
      <c r="B1024" t="s">
        <v>12190</v>
      </c>
      <c r="C1024" t="s">
        <v>202</v>
      </c>
      <c r="E1024" t="s">
        <v>8072</v>
      </c>
      <c r="F1024">
        <v>4900</v>
      </c>
      <c r="G1024" t="s">
        <v>41</v>
      </c>
      <c r="H1024" t="s">
        <v>16</v>
      </c>
      <c r="I1024" t="s">
        <v>1865</v>
      </c>
      <c r="J1024" t="s">
        <v>1866</v>
      </c>
      <c r="K1024" t="s">
        <v>1809</v>
      </c>
      <c r="L1024" t="str">
        <f>HYPERLINK("https://business-monitor.ch/de/companies/721868-talpha-partner-gmbh?utm_source=oberaargau","PROFIL ANSEHEN")</f>
        <v>PROFIL ANSEHEN</v>
      </c>
    </row>
    <row r="1025" spans="1:12" x14ac:dyDescent="0.2">
      <c r="A1025" t="s">
        <v>8678</v>
      </c>
      <c r="B1025" t="s">
        <v>8679</v>
      </c>
      <c r="C1025" t="s">
        <v>1812</v>
      </c>
      <c r="E1025" t="s">
        <v>7812</v>
      </c>
      <c r="F1025">
        <v>4938</v>
      </c>
      <c r="G1025" t="s">
        <v>618</v>
      </c>
      <c r="H1025" t="s">
        <v>16</v>
      </c>
      <c r="I1025" t="s">
        <v>642</v>
      </c>
      <c r="J1025" t="s">
        <v>643</v>
      </c>
      <c r="K1025" t="s">
        <v>1809</v>
      </c>
      <c r="L1025" t="str">
        <f>HYPERLINK("https://business-monitor.ch/de/companies/416823-kronen-garage-ernst-scheidegger?utm_source=oberaargau","PROFIL ANSEHEN")</f>
        <v>PROFIL ANSEHEN</v>
      </c>
    </row>
    <row r="1026" spans="1:12" x14ac:dyDescent="0.2">
      <c r="A1026" t="s">
        <v>13386</v>
      </c>
      <c r="B1026" t="s">
        <v>13387</v>
      </c>
      <c r="C1026" t="s">
        <v>202</v>
      </c>
      <c r="E1026" t="s">
        <v>13388</v>
      </c>
      <c r="F1026">
        <v>4932</v>
      </c>
      <c r="G1026" t="s">
        <v>325</v>
      </c>
      <c r="H1026" t="s">
        <v>16</v>
      </c>
      <c r="I1026" t="s">
        <v>4682</v>
      </c>
      <c r="J1026" t="s">
        <v>4683</v>
      </c>
      <c r="K1026" t="s">
        <v>1809</v>
      </c>
      <c r="L1026" t="str">
        <f>HYPERLINK("https://business-monitor.ch/de/companies/730511-helmed-gmbh?utm_source=oberaargau","PROFIL ANSEHEN")</f>
        <v>PROFIL ANSEHEN</v>
      </c>
    </row>
    <row r="1027" spans="1:12" x14ac:dyDescent="0.2">
      <c r="A1027" t="s">
        <v>11341</v>
      </c>
      <c r="B1027" t="s">
        <v>11622</v>
      </c>
      <c r="C1027" t="s">
        <v>202</v>
      </c>
      <c r="E1027" t="s">
        <v>501</v>
      </c>
      <c r="F1027">
        <v>4900</v>
      </c>
      <c r="G1027" t="s">
        <v>41</v>
      </c>
      <c r="H1027" t="s">
        <v>16</v>
      </c>
      <c r="I1027" t="s">
        <v>3864</v>
      </c>
      <c r="J1027" t="s">
        <v>3865</v>
      </c>
      <c r="K1027" t="s">
        <v>1809</v>
      </c>
      <c r="L1027" t="str">
        <f>HYPERLINK("https://business-monitor.ch/de/companies/1136336-lumeos-gmbh?utm_source=oberaargau","PROFIL ANSEHEN")</f>
        <v>PROFIL ANSEHEN</v>
      </c>
    </row>
    <row r="1028" spans="1:12" x14ac:dyDescent="0.2">
      <c r="A1028" t="s">
        <v>12775</v>
      </c>
      <c r="B1028" t="s">
        <v>12776</v>
      </c>
      <c r="C1028" t="s">
        <v>202</v>
      </c>
      <c r="E1028" t="s">
        <v>4262</v>
      </c>
      <c r="F1028">
        <v>4900</v>
      </c>
      <c r="G1028" t="s">
        <v>41</v>
      </c>
      <c r="H1028" t="s">
        <v>16</v>
      </c>
      <c r="I1028" t="s">
        <v>824</v>
      </c>
      <c r="J1028" t="s">
        <v>825</v>
      </c>
      <c r="K1028" t="s">
        <v>1809</v>
      </c>
      <c r="L1028" t="str">
        <f>HYPERLINK("https://business-monitor.ch/de/companies/1221238-wassererlebnis-gmbh?utm_source=oberaargau","PROFIL ANSEHEN")</f>
        <v>PROFIL ANSEHEN</v>
      </c>
    </row>
    <row r="1029" spans="1:12" x14ac:dyDescent="0.2">
      <c r="A1029" t="s">
        <v>4253</v>
      </c>
      <c r="B1029" t="s">
        <v>4254</v>
      </c>
      <c r="C1029" t="s">
        <v>202</v>
      </c>
      <c r="E1029" t="s">
        <v>4255</v>
      </c>
      <c r="F1029">
        <v>4900</v>
      </c>
      <c r="G1029" t="s">
        <v>41</v>
      </c>
      <c r="H1029" t="s">
        <v>16</v>
      </c>
      <c r="I1029" t="s">
        <v>854</v>
      </c>
      <c r="J1029" t="s">
        <v>855</v>
      </c>
      <c r="K1029" t="s">
        <v>1809</v>
      </c>
      <c r="L1029" t="str">
        <f>HYPERLINK("https://business-monitor.ch/de/companies/987858-xylu-gmbh?utm_source=oberaargau","PROFIL ANSEHEN")</f>
        <v>PROFIL ANSEHEN</v>
      </c>
    </row>
    <row r="1030" spans="1:12" x14ac:dyDescent="0.2">
      <c r="A1030" t="s">
        <v>12311</v>
      </c>
      <c r="B1030" t="s">
        <v>12312</v>
      </c>
      <c r="C1030" t="s">
        <v>1812</v>
      </c>
      <c r="E1030" t="s">
        <v>12137</v>
      </c>
      <c r="F1030">
        <v>4922</v>
      </c>
      <c r="G1030" t="s">
        <v>99</v>
      </c>
      <c r="H1030" t="s">
        <v>16</v>
      </c>
      <c r="I1030" t="s">
        <v>1855</v>
      </c>
      <c r="J1030" t="s">
        <v>1856</v>
      </c>
      <c r="K1030" t="s">
        <v>1809</v>
      </c>
      <c r="L1030" t="str">
        <f>HYPERLINK("https://business-monitor.ch/de/companies/1195628-nailed-by-joanna-foerster?utm_source=oberaargau","PROFIL ANSEHEN")</f>
        <v>PROFIL ANSEHEN</v>
      </c>
    </row>
    <row r="1031" spans="1:12" x14ac:dyDescent="0.2">
      <c r="A1031" t="s">
        <v>7345</v>
      </c>
      <c r="B1031" t="s">
        <v>7346</v>
      </c>
      <c r="C1031" t="s">
        <v>202</v>
      </c>
      <c r="E1031" t="s">
        <v>7347</v>
      </c>
      <c r="F1031">
        <v>3368</v>
      </c>
      <c r="G1031" t="s">
        <v>308</v>
      </c>
      <c r="H1031" t="s">
        <v>16</v>
      </c>
      <c r="I1031" t="s">
        <v>4582</v>
      </c>
      <c r="J1031" t="s">
        <v>4583</v>
      </c>
      <c r="K1031" t="s">
        <v>1809</v>
      </c>
      <c r="L1031" t="str">
        <f>HYPERLINK("https://business-monitor.ch/de/companies/988291-holzerteam-kaufmann-rickli-gmbh?utm_source=oberaargau","PROFIL ANSEHEN")</f>
        <v>PROFIL ANSEHEN</v>
      </c>
    </row>
    <row r="1032" spans="1:12" x14ac:dyDescent="0.2">
      <c r="A1032" t="s">
        <v>12294</v>
      </c>
      <c r="B1032" t="s">
        <v>12295</v>
      </c>
      <c r="C1032" t="s">
        <v>13</v>
      </c>
      <c r="E1032" t="s">
        <v>12296</v>
      </c>
      <c r="F1032">
        <v>4900</v>
      </c>
      <c r="G1032" t="s">
        <v>41</v>
      </c>
      <c r="H1032" t="s">
        <v>16</v>
      </c>
      <c r="I1032" t="s">
        <v>77</v>
      </c>
      <c r="J1032" t="s">
        <v>78</v>
      </c>
      <c r="K1032" t="s">
        <v>1809</v>
      </c>
      <c r="L1032" t="str">
        <f>HYPERLINK("https://business-monitor.ch/de/companies/1189990-centrimo-ag?utm_source=oberaargau","PROFIL ANSEHEN")</f>
        <v>PROFIL ANSEHEN</v>
      </c>
    </row>
    <row r="1033" spans="1:12" x14ac:dyDescent="0.2">
      <c r="A1033" t="s">
        <v>5090</v>
      </c>
      <c r="B1033" t="s">
        <v>5091</v>
      </c>
      <c r="C1033" t="s">
        <v>1812</v>
      </c>
      <c r="E1033" t="s">
        <v>5092</v>
      </c>
      <c r="F1033">
        <v>4952</v>
      </c>
      <c r="G1033" t="s">
        <v>474</v>
      </c>
      <c r="H1033" t="s">
        <v>16</v>
      </c>
      <c r="I1033" t="s">
        <v>2706</v>
      </c>
      <c r="J1033" t="s">
        <v>2707</v>
      </c>
      <c r="K1033" t="s">
        <v>1809</v>
      </c>
      <c r="L1033" t="str">
        <f>HYPERLINK("https://business-monitor.ch/de/companies/485522-andregygli-ch-gygli?utm_source=oberaargau","PROFIL ANSEHEN")</f>
        <v>PROFIL ANSEHEN</v>
      </c>
    </row>
    <row r="1034" spans="1:12" x14ac:dyDescent="0.2">
      <c r="A1034" t="s">
        <v>3923</v>
      </c>
      <c r="B1034" t="s">
        <v>3924</v>
      </c>
      <c r="C1034" t="s">
        <v>202</v>
      </c>
      <c r="E1034" t="s">
        <v>1228</v>
      </c>
      <c r="F1034">
        <v>4900</v>
      </c>
      <c r="G1034" t="s">
        <v>41</v>
      </c>
      <c r="H1034" t="s">
        <v>16</v>
      </c>
      <c r="I1034" t="s">
        <v>1865</v>
      </c>
      <c r="J1034" t="s">
        <v>1866</v>
      </c>
      <c r="K1034" t="s">
        <v>1809</v>
      </c>
      <c r="L1034" t="str">
        <f>HYPERLINK("https://business-monitor.ch/de/companies/667887-bl-work-gmbh?utm_source=oberaargau","PROFIL ANSEHEN")</f>
        <v>PROFIL ANSEHEN</v>
      </c>
    </row>
    <row r="1035" spans="1:12" x14ac:dyDescent="0.2">
      <c r="A1035" t="s">
        <v>2037</v>
      </c>
      <c r="B1035" t="s">
        <v>2038</v>
      </c>
      <c r="C1035" t="s">
        <v>1812</v>
      </c>
      <c r="E1035" t="s">
        <v>2039</v>
      </c>
      <c r="F1035">
        <v>4900</v>
      </c>
      <c r="G1035" t="s">
        <v>41</v>
      </c>
      <c r="H1035" t="s">
        <v>16</v>
      </c>
      <c r="I1035" t="s">
        <v>1860</v>
      </c>
      <c r="J1035" t="s">
        <v>1861</v>
      </c>
      <c r="K1035" t="s">
        <v>1809</v>
      </c>
      <c r="L1035" t="str">
        <f>HYPERLINK("https://business-monitor.ch/de/companies/170943-beauty-center-langenthal-p-jacobs?utm_source=oberaargau","PROFIL ANSEHEN")</f>
        <v>PROFIL ANSEHEN</v>
      </c>
    </row>
    <row r="1036" spans="1:12" x14ac:dyDescent="0.2">
      <c r="A1036" t="s">
        <v>2043</v>
      </c>
      <c r="B1036" t="s">
        <v>8459</v>
      </c>
      <c r="C1036" t="s">
        <v>202</v>
      </c>
      <c r="E1036" t="s">
        <v>4903</v>
      </c>
      <c r="F1036">
        <v>4938</v>
      </c>
      <c r="G1036" t="s">
        <v>618</v>
      </c>
      <c r="H1036" t="s">
        <v>16</v>
      </c>
      <c r="I1036" t="s">
        <v>679</v>
      </c>
      <c r="J1036" t="s">
        <v>680</v>
      </c>
      <c r="K1036" t="s">
        <v>1809</v>
      </c>
      <c r="L1036" t="str">
        <f>HYPERLINK("https://business-monitor.ch/de/companies/192157-holzx-gmbh?utm_source=oberaargau","PROFIL ANSEHEN")</f>
        <v>PROFIL ANSEHEN</v>
      </c>
    </row>
    <row r="1037" spans="1:12" x14ac:dyDescent="0.2">
      <c r="A1037" t="s">
        <v>7335</v>
      </c>
      <c r="B1037" t="s">
        <v>7336</v>
      </c>
      <c r="C1037" t="s">
        <v>202</v>
      </c>
      <c r="D1037" t="s">
        <v>11094</v>
      </c>
      <c r="E1037" t="s">
        <v>11095</v>
      </c>
      <c r="F1037">
        <v>4917</v>
      </c>
      <c r="G1037" t="s">
        <v>2848</v>
      </c>
      <c r="H1037" t="s">
        <v>16</v>
      </c>
      <c r="I1037" t="s">
        <v>2067</v>
      </c>
      <c r="J1037" t="s">
        <v>2068</v>
      </c>
      <c r="K1037" t="s">
        <v>1809</v>
      </c>
      <c r="L1037" t="str">
        <f>HYPERLINK("https://business-monitor.ch/de/companies/990748-abo-mauerwerk-anderegg-gmbh?utm_source=oberaargau","PROFIL ANSEHEN")</f>
        <v>PROFIL ANSEHEN</v>
      </c>
    </row>
    <row r="1038" spans="1:12" x14ac:dyDescent="0.2">
      <c r="A1038" t="s">
        <v>3827</v>
      </c>
      <c r="B1038" t="s">
        <v>3828</v>
      </c>
      <c r="C1038" t="s">
        <v>202</v>
      </c>
      <c r="E1038" t="s">
        <v>3829</v>
      </c>
      <c r="F1038">
        <v>3360</v>
      </c>
      <c r="G1038" t="s">
        <v>35</v>
      </c>
      <c r="H1038" t="s">
        <v>16</v>
      </c>
      <c r="I1038" t="s">
        <v>733</v>
      </c>
      <c r="J1038" t="s">
        <v>734</v>
      </c>
      <c r="K1038" t="s">
        <v>1809</v>
      </c>
      <c r="L1038" t="str">
        <f>HYPERLINK("https://business-monitor.ch/de/companies/703559-buchsi-auto-gmbh?utm_source=oberaargau","PROFIL ANSEHEN")</f>
        <v>PROFIL ANSEHEN</v>
      </c>
    </row>
    <row r="1039" spans="1:12" x14ac:dyDescent="0.2">
      <c r="A1039" t="s">
        <v>10074</v>
      </c>
      <c r="B1039" t="s">
        <v>10075</v>
      </c>
      <c r="C1039" t="s">
        <v>13</v>
      </c>
      <c r="E1039" t="s">
        <v>1130</v>
      </c>
      <c r="F1039">
        <v>4900</v>
      </c>
      <c r="G1039" t="s">
        <v>41</v>
      </c>
      <c r="H1039" t="s">
        <v>16</v>
      </c>
      <c r="I1039" t="s">
        <v>1062</v>
      </c>
      <c r="J1039" t="s">
        <v>1063</v>
      </c>
      <c r="K1039" t="s">
        <v>1809</v>
      </c>
      <c r="L1039" t="str">
        <f>HYPERLINK("https://business-monitor.ch/de/companies/689910-rigert-keramik-ag?utm_source=oberaargau","PROFIL ANSEHEN")</f>
        <v>PROFIL ANSEHEN</v>
      </c>
    </row>
    <row r="1040" spans="1:12" x14ac:dyDescent="0.2">
      <c r="A1040" t="s">
        <v>12367</v>
      </c>
      <c r="B1040" t="s">
        <v>12368</v>
      </c>
      <c r="C1040" t="s">
        <v>202</v>
      </c>
      <c r="E1040" t="s">
        <v>12369</v>
      </c>
      <c r="F1040">
        <v>3362</v>
      </c>
      <c r="G1040" t="s">
        <v>47</v>
      </c>
      <c r="H1040" t="s">
        <v>16</v>
      </c>
      <c r="I1040" t="s">
        <v>24</v>
      </c>
      <c r="J1040" t="s">
        <v>25</v>
      </c>
      <c r="K1040" t="s">
        <v>1809</v>
      </c>
      <c r="L1040" t="str">
        <f>HYPERLINK("https://business-monitor.ch/de/companies/1197160-digital-controlling-gmbh?utm_source=oberaargau","PROFIL ANSEHEN")</f>
        <v>PROFIL ANSEHEN</v>
      </c>
    </row>
    <row r="1041" spans="1:12" x14ac:dyDescent="0.2">
      <c r="A1041" t="s">
        <v>4715</v>
      </c>
      <c r="B1041" t="s">
        <v>4716</v>
      </c>
      <c r="C1041" t="s">
        <v>202</v>
      </c>
      <c r="E1041" t="s">
        <v>4717</v>
      </c>
      <c r="F1041">
        <v>4900</v>
      </c>
      <c r="G1041" t="s">
        <v>41</v>
      </c>
      <c r="H1041" t="s">
        <v>16</v>
      </c>
      <c r="I1041" t="s">
        <v>1860</v>
      </c>
      <c r="J1041" t="s">
        <v>1861</v>
      </c>
      <c r="K1041" t="s">
        <v>1809</v>
      </c>
      <c r="L1041" t="str">
        <f>HYPERLINK("https://business-monitor.ch/de/companies/592385-coiffeure-eli-gmbh?utm_source=oberaargau","PROFIL ANSEHEN")</f>
        <v>PROFIL ANSEHEN</v>
      </c>
    </row>
    <row r="1042" spans="1:12" x14ac:dyDescent="0.2">
      <c r="A1042" t="s">
        <v>10921</v>
      </c>
      <c r="B1042" t="s">
        <v>10922</v>
      </c>
      <c r="C1042" t="s">
        <v>13</v>
      </c>
      <c r="E1042" t="s">
        <v>7355</v>
      </c>
      <c r="F1042">
        <v>4704</v>
      </c>
      <c r="G1042" t="s">
        <v>221</v>
      </c>
      <c r="H1042" t="s">
        <v>16</v>
      </c>
      <c r="I1042" t="s">
        <v>91</v>
      </c>
      <c r="J1042" t="s">
        <v>92</v>
      </c>
      <c r="K1042" t="s">
        <v>1809</v>
      </c>
      <c r="L1042" t="str">
        <f>HYPERLINK("https://business-monitor.ch/de/companies/674201-business-division-schweiz-ag?utm_source=oberaargau","PROFIL ANSEHEN")</f>
        <v>PROFIL ANSEHEN</v>
      </c>
    </row>
    <row r="1043" spans="1:12" x14ac:dyDescent="0.2">
      <c r="A1043" t="s">
        <v>2097</v>
      </c>
      <c r="B1043" t="s">
        <v>2098</v>
      </c>
      <c r="C1043" t="s">
        <v>13</v>
      </c>
      <c r="E1043" t="s">
        <v>2099</v>
      </c>
      <c r="F1043">
        <v>4900</v>
      </c>
      <c r="G1043" t="s">
        <v>41</v>
      </c>
      <c r="H1043" t="s">
        <v>16</v>
      </c>
      <c r="I1043" t="s">
        <v>260</v>
      </c>
      <c r="J1043" t="s">
        <v>261</v>
      </c>
      <c r="K1043" t="s">
        <v>1809</v>
      </c>
      <c r="L1043" t="str">
        <f>HYPERLINK("https://business-monitor.ch/de/companies/80974-stettler-architektur-immobilien-ag?utm_source=oberaargau","PROFIL ANSEHEN")</f>
        <v>PROFIL ANSEHEN</v>
      </c>
    </row>
    <row r="1044" spans="1:12" x14ac:dyDescent="0.2">
      <c r="A1044" t="s">
        <v>4885</v>
      </c>
      <c r="B1044" t="s">
        <v>4886</v>
      </c>
      <c r="C1044" t="s">
        <v>13</v>
      </c>
      <c r="E1044" t="s">
        <v>4887</v>
      </c>
      <c r="F1044">
        <v>4912</v>
      </c>
      <c r="G1044" t="s">
        <v>64</v>
      </c>
      <c r="H1044" t="s">
        <v>16</v>
      </c>
      <c r="I1044" t="s">
        <v>1535</v>
      </c>
      <c r="J1044" t="s">
        <v>1536</v>
      </c>
      <c r="K1044" t="s">
        <v>1809</v>
      </c>
      <c r="L1044" t="str">
        <f>HYPERLINK("https://business-monitor.ch/de/companies/1095536-held-gartenpflege-ag?utm_source=oberaargau","PROFIL ANSEHEN")</f>
        <v>PROFIL ANSEHEN</v>
      </c>
    </row>
    <row r="1045" spans="1:12" x14ac:dyDescent="0.2">
      <c r="A1045" t="s">
        <v>3713</v>
      </c>
      <c r="B1045" t="s">
        <v>3714</v>
      </c>
      <c r="C1045" t="s">
        <v>2258</v>
      </c>
      <c r="E1045" t="s">
        <v>3462</v>
      </c>
      <c r="F1045">
        <v>4900</v>
      </c>
      <c r="G1045" t="s">
        <v>41</v>
      </c>
      <c r="H1045" t="s">
        <v>16</v>
      </c>
      <c r="I1045" t="s">
        <v>1683</v>
      </c>
      <c r="J1045" t="s">
        <v>1684</v>
      </c>
      <c r="K1045" t="s">
        <v>1809</v>
      </c>
      <c r="L1045" t="str">
        <f>HYPERLINK("https://business-monitor.ch/de/companies/10674-verein-kornblume?utm_source=oberaargau","PROFIL ANSEHEN")</f>
        <v>PROFIL ANSEHEN</v>
      </c>
    </row>
    <row r="1046" spans="1:12" x14ac:dyDescent="0.2">
      <c r="A1046" t="s">
        <v>8572</v>
      </c>
      <c r="B1046" t="s">
        <v>8573</v>
      </c>
      <c r="C1046" t="s">
        <v>84</v>
      </c>
      <c r="D1046" t="s">
        <v>8574</v>
      </c>
      <c r="E1046" t="s">
        <v>8575</v>
      </c>
      <c r="F1046">
        <v>3377</v>
      </c>
      <c r="G1046" t="s">
        <v>1307</v>
      </c>
      <c r="H1046" t="s">
        <v>16</v>
      </c>
      <c r="I1046" t="s">
        <v>1409</v>
      </c>
      <c r="J1046" t="s">
        <v>1410</v>
      </c>
      <c r="K1046" t="s">
        <v>1809</v>
      </c>
      <c r="L1046" t="str">
        <f>HYPERLINK("https://business-monitor.ch/de/companies/70135-milchgenossenschaft-walliswil-bei-wangen?utm_source=oberaargau","PROFIL ANSEHEN")</f>
        <v>PROFIL ANSEHEN</v>
      </c>
    </row>
    <row r="1047" spans="1:12" x14ac:dyDescent="0.2">
      <c r="A1047" t="s">
        <v>8548</v>
      </c>
      <c r="B1047" t="s">
        <v>8549</v>
      </c>
      <c r="C1047" t="s">
        <v>13</v>
      </c>
      <c r="E1047" t="s">
        <v>8550</v>
      </c>
      <c r="F1047">
        <v>4704</v>
      </c>
      <c r="G1047" t="s">
        <v>221</v>
      </c>
      <c r="H1047" t="s">
        <v>16</v>
      </c>
      <c r="I1047" t="s">
        <v>157</v>
      </c>
      <c r="J1047" t="s">
        <v>158</v>
      </c>
      <c r="K1047" t="s">
        <v>1809</v>
      </c>
      <c r="L1047" t="str">
        <f>HYPERLINK("https://business-monitor.ch/de/companies/491279-bmn-verwaltungen-ag?utm_source=oberaargau","PROFIL ANSEHEN")</f>
        <v>PROFIL ANSEHEN</v>
      </c>
    </row>
    <row r="1048" spans="1:12" x14ac:dyDescent="0.2">
      <c r="A1048" t="s">
        <v>8226</v>
      </c>
      <c r="B1048" t="s">
        <v>8227</v>
      </c>
      <c r="C1048" t="s">
        <v>13</v>
      </c>
      <c r="E1048" t="s">
        <v>14417</v>
      </c>
      <c r="F1048">
        <v>3360</v>
      </c>
      <c r="G1048" t="s">
        <v>35</v>
      </c>
      <c r="H1048" t="s">
        <v>16</v>
      </c>
      <c r="I1048" t="s">
        <v>157</v>
      </c>
      <c r="J1048" t="s">
        <v>158</v>
      </c>
      <c r="K1048" t="s">
        <v>1809</v>
      </c>
      <c r="L1048" t="str">
        <f>HYPERLINK("https://business-monitor.ch/de/companies/74068-bottina-ag?utm_source=oberaargau","PROFIL ANSEHEN")</f>
        <v>PROFIL ANSEHEN</v>
      </c>
    </row>
    <row r="1049" spans="1:12" x14ac:dyDescent="0.2">
      <c r="A1049" t="s">
        <v>7473</v>
      </c>
      <c r="B1049" t="s">
        <v>7474</v>
      </c>
      <c r="C1049" t="s">
        <v>202</v>
      </c>
      <c r="E1049" t="s">
        <v>13198</v>
      </c>
      <c r="F1049">
        <v>4917</v>
      </c>
      <c r="G1049" t="s">
        <v>376</v>
      </c>
      <c r="H1049" t="s">
        <v>16</v>
      </c>
      <c r="I1049" t="s">
        <v>182</v>
      </c>
      <c r="J1049" t="s">
        <v>183</v>
      </c>
      <c r="K1049" t="s">
        <v>1809</v>
      </c>
      <c r="L1049" t="str">
        <f>HYPERLINK("https://business-monitor.ch/de/companies/928476-tk-beteiligungen-gmbh?utm_source=oberaargau","PROFIL ANSEHEN")</f>
        <v>PROFIL ANSEHEN</v>
      </c>
    </row>
    <row r="1050" spans="1:12" x14ac:dyDescent="0.2">
      <c r="A1050" t="s">
        <v>7577</v>
      </c>
      <c r="B1050" t="s">
        <v>11412</v>
      </c>
      <c r="C1050" t="s">
        <v>1812</v>
      </c>
      <c r="E1050" t="s">
        <v>559</v>
      </c>
      <c r="F1050">
        <v>4900</v>
      </c>
      <c r="G1050" t="s">
        <v>41</v>
      </c>
      <c r="H1050" t="s">
        <v>16</v>
      </c>
      <c r="I1050" t="s">
        <v>551</v>
      </c>
      <c r="J1050" t="s">
        <v>552</v>
      </c>
      <c r="K1050" t="s">
        <v>1809</v>
      </c>
      <c r="L1050" t="str">
        <f>HYPERLINK("https://business-monitor.ch/de/companies/686254-bueroduese-kessler?utm_source=oberaargau","PROFIL ANSEHEN")</f>
        <v>PROFIL ANSEHEN</v>
      </c>
    </row>
    <row r="1051" spans="1:12" x14ac:dyDescent="0.2">
      <c r="A1051" t="s">
        <v>9824</v>
      </c>
      <c r="B1051" t="s">
        <v>9825</v>
      </c>
      <c r="C1051" t="s">
        <v>202</v>
      </c>
      <c r="E1051" t="s">
        <v>7390</v>
      </c>
      <c r="F1051">
        <v>4900</v>
      </c>
      <c r="G1051" t="s">
        <v>41</v>
      </c>
      <c r="H1051" t="s">
        <v>16</v>
      </c>
      <c r="I1051" t="s">
        <v>662</v>
      </c>
      <c r="J1051" t="s">
        <v>663</v>
      </c>
      <c r="K1051" t="s">
        <v>1809</v>
      </c>
      <c r="L1051" t="str">
        <f>HYPERLINK("https://business-monitor.ch/de/companies/997135-jamai-bedachung-und-waermedaemmung-gmbh?utm_source=oberaargau","PROFIL ANSEHEN")</f>
        <v>PROFIL ANSEHEN</v>
      </c>
    </row>
    <row r="1052" spans="1:12" x14ac:dyDescent="0.2">
      <c r="A1052" t="s">
        <v>11499</v>
      </c>
      <c r="B1052" t="s">
        <v>11500</v>
      </c>
      <c r="C1052" t="s">
        <v>202</v>
      </c>
      <c r="E1052" t="s">
        <v>11501</v>
      </c>
      <c r="F1052">
        <v>3360</v>
      </c>
      <c r="G1052" t="s">
        <v>35</v>
      </c>
      <c r="H1052" t="s">
        <v>16</v>
      </c>
      <c r="I1052" t="s">
        <v>4105</v>
      </c>
      <c r="J1052" t="s">
        <v>4106</v>
      </c>
      <c r="K1052" t="s">
        <v>1809</v>
      </c>
      <c r="L1052" t="str">
        <f>HYPERLINK("https://business-monitor.ch/de/companies/1142277-chutzi-gmbh?utm_source=oberaargau","PROFIL ANSEHEN")</f>
        <v>PROFIL ANSEHEN</v>
      </c>
    </row>
    <row r="1053" spans="1:12" x14ac:dyDescent="0.2">
      <c r="A1053" t="s">
        <v>7553</v>
      </c>
      <c r="B1053" t="s">
        <v>7554</v>
      </c>
      <c r="C1053" t="s">
        <v>13</v>
      </c>
      <c r="E1053" t="s">
        <v>7555</v>
      </c>
      <c r="F1053">
        <v>3373</v>
      </c>
      <c r="G1053" t="s">
        <v>2429</v>
      </c>
      <c r="H1053" t="s">
        <v>16</v>
      </c>
      <c r="I1053" t="s">
        <v>642</v>
      </c>
      <c r="J1053" t="s">
        <v>643</v>
      </c>
      <c r="K1053" t="s">
        <v>1809</v>
      </c>
      <c r="L1053" t="str">
        <f>HYPERLINK("https://business-monitor.ch/de/companies/694296-auto-staub-ag?utm_source=oberaargau","PROFIL ANSEHEN")</f>
        <v>PROFIL ANSEHEN</v>
      </c>
    </row>
    <row r="1054" spans="1:12" x14ac:dyDescent="0.2">
      <c r="A1054" t="s">
        <v>13668</v>
      </c>
      <c r="B1054" t="s">
        <v>13669</v>
      </c>
      <c r="C1054" t="s">
        <v>13</v>
      </c>
      <c r="E1054" t="s">
        <v>13670</v>
      </c>
      <c r="F1054">
        <v>4536</v>
      </c>
      <c r="G1054" t="s">
        <v>1395</v>
      </c>
      <c r="H1054" t="s">
        <v>16</v>
      </c>
      <c r="I1054" t="s">
        <v>4577</v>
      </c>
      <c r="J1054" t="s">
        <v>4578</v>
      </c>
      <c r="K1054" t="s">
        <v>1809</v>
      </c>
      <c r="L1054" t="str">
        <f>HYPERLINK("https://business-monitor.ch/de/companies/693029-schang-hutter-ag?utm_source=oberaargau","PROFIL ANSEHEN")</f>
        <v>PROFIL ANSEHEN</v>
      </c>
    </row>
    <row r="1055" spans="1:12" x14ac:dyDescent="0.2">
      <c r="A1055" t="s">
        <v>13495</v>
      </c>
      <c r="B1055" t="s">
        <v>13496</v>
      </c>
      <c r="C1055" t="s">
        <v>13</v>
      </c>
      <c r="E1055" t="s">
        <v>13273</v>
      </c>
      <c r="F1055">
        <v>4950</v>
      </c>
      <c r="G1055" t="s">
        <v>15</v>
      </c>
      <c r="H1055" t="s">
        <v>16</v>
      </c>
      <c r="I1055" t="s">
        <v>276</v>
      </c>
      <c r="J1055" t="s">
        <v>277</v>
      </c>
      <c r="K1055" t="s">
        <v>1809</v>
      </c>
      <c r="L1055" t="str">
        <f>HYPERLINK("https://business-monitor.ch/de/companies/374162-qualidess-ag?utm_source=oberaargau","PROFIL ANSEHEN")</f>
        <v>PROFIL ANSEHEN</v>
      </c>
    </row>
    <row r="1056" spans="1:12" x14ac:dyDescent="0.2">
      <c r="A1056" t="s">
        <v>7041</v>
      </c>
      <c r="B1056" t="s">
        <v>7042</v>
      </c>
      <c r="C1056" t="s">
        <v>202</v>
      </c>
      <c r="E1056" t="s">
        <v>7043</v>
      </c>
      <c r="F1056">
        <v>4911</v>
      </c>
      <c r="G1056" t="s">
        <v>1005</v>
      </c>
      <c r="H1056" t="s">
        <v>16</v>
      </c>
      <c r="I1056" t="s">
        <v>2970</v>
      </c>
      <c r="J1056" t="s">
        <v>2971</v>
      </c>
      <c r="K1056" t="s">
        <v>1809</v>
      </c>
      <c r="L1056" t="str">
        <f>HYPERLINK("https://business-monitor.ch/de/companies/599228-grossweier-gastro-gmbh?utm_source=oberaargau","PROFIL ANSEHEN")</f>
        <v>PROFIL ANSEHEN</v>
      </c>
    </row>
    <row r="1057" spans="1:12" x14ac:dyDescent="0.2">
      <c r="A1057" t="s">
        <v>7312</v>
      </c>
      <c r="B1057" t="s">
        <v>7313</v>
      </c>
      <c r="C1057" t="s">
        <v>1812</v>
      </c>
      <c r="E1057" t="s">
        <v>7314</v>
      </c>
      <c r="F1057">
        <v>3360</v>
      </c>
      <c r="G1057" t="s">
        <v>35</v>
      </c>
      <c r="H1057" t="s">
        <v>16</v>
      </c>
      <c r="I1057" t="s">
        <v>464</v>
      </c>
      <c r="J1057" t="s">
        <v>465</v>
      </c>
      <c r="K1057" t="s">
        <v>1809</v>
      </c>
      <c r="L1057" t="str">
        <f>HYPERLINK("https://business-monitor.ch/de/companies/1005038-dein-transport-omerovic?utm_source=oberaargau","PROFIL ANSEHEN")</f>
        <v>PROFIL ANSEHEN</v>
      </c>
    </row>
    <row r="1058" spans="1:12" x14ac:dyDescent="0.2">
      <c r="A1058" t="s">
        <v>7219</v>
      </c>
      <c r="B1058" t="s">
        <v>7220</v>
      </c>
      <c r="C1058" t="s">
        <v>202</v>
      </c>
      <c r="E1058" t="s">
        <v>7221</v>
      </c>
      <c r="F1058">
        <v>3360</v>
      </c>
      <c r="G1058" t="s">
        <v>35</v>
      </c>
      <c r="H1058" t="s">
        <v>16</v>
      </c>
      <c r="I1058" t="s">
        <v>1039</v>
      </c>
      <c r="J1058" t="s">
        <v>1040</v>
      </c>
      <c r="K1058" t="s">
        <v>1809</v>
      </c>
      <c r="L1058" t="str">
        <f>HYPERLINK("https://business-monitor.ch/de/companies/1033788-gschaepi-gmbh?utm_source=oberaargau","PROFIL ANSEHEN")</f>
        <v>PROFIL ANSEHEN</v>
      </c>
    </row>
    <row r="1059" spans="1:12" x14ac:dyDescent="0.2">
      <c r="A1059" t="s">
        <v>13160</v>
      </c>
      <c r="B1059" t="s">
        <v>13161</v>
      </c>
      <c r="C1059" t="s">
        <v>13</v>
      </c>
      <c r="E1059" t="s">
        <v>2693</v>
      </c>
      <c r="F1059">
        <v>4900</v>
      </c>
      <c r="G1059" t="s">
        <v>41</v>
      </c>
      <c r="H1059" t="s">
        <v>16</v>
      </c>
      <c r="I1059" t="s">
        <v>1193</v>
      </c>
      <c r="J1059" t="s">
        <v>1194</v>
      </c>
      <c r="K1059" t="s">
        <v>1809</v>
      </c>
      <c r="L1059" t="str">
        <f>HYPERLINK("https://business-monitor.ch/de/companies/579652-wesu-clevernet-ag-langenthal?utm_source=oberaargau","PROFIL ANSEHEN")</f>
        <v>PROFIL ANSEHEN</v>
      </c>
    </row>
    <row r="1060" spans="1:12" x14ac:dyDescent="0.2">
      <c r="A1060" t="s">
        <v>3478</v>
      </c>
      <c r="B1060" t="s">
        <v>3479</v>
      </c>
      <c r="C1060" t="s">
        <v>13</v>
      </c>
      <c r="E1060" t="s">
        <v>3480</v>
      </c>
      <c r="F1060">
        <v>4900</v>
      </c>
      <c r="G1060" t="s">
        <v>41</v>
      </c>
      <c r="H1060" t="s">
        <v>16</v>
      </c>
      <c r="I1060" t="s">
        <v>1446</v>
      </c>
      <c r="J1060" t="s">
        <v>1447</v>
      </c>
      <c r="K1060" t="s">
        <v>1809</v>
      </c>
      <c r="L1060" t="str">
        <f>HYPERLINK("https://business-monitor.ch/de/companies/170865-saegesser-oberli-ag?utm_source=oberaargau","PROFIL ANSEHEN")</f>
        <v>PROFIL ANSEHEN</v>
      </c>
    </row>
    <row r="1061" spans="1:12" x14ac:dyDescent="0.2">
      <c r="A1061" t="s">
        <v>7541</v>
      </c>
      <c r="B1061" t="s">
        <v>7542</v>
      </c>
      <c r="C1061" t="s">
        <v>202</v>
      </c>
      <c r="D1061" t="s">
        <v>7543</v>
      </c>
      <c r="E1061" t="s">
        <v>491</v>
      </c>
      <c r="F1061">
        <v>4900</v>
      </c>
      <c r="G1061" t="s">
        <v>41</v>
      </c>
      <c r="H1061" t="s">
        <v>16</v>
      </c>
      <c r="I1061" t="s">
        <v>186</v>
      </c>
      <c r="J1061" t="s">
        <v>187</v>
      </c>
      <c r="K1061" t="s">
        <v>1809</v>
      </c>
      <c r="L1061" t="str">
        <f>HYPERLINK("https://business-monitor.ch/de/companies/703098-hasenfratz-strebel-holding-gmbh?utm_source=oberaargau","PROFIL ANSEHEN")</f>
        <v>PROFIL ANSEHEN</v>
      </c>
    </row>
    <row r="1062" spans="1:12" x14ac:dyDescent="0.2">
      <c r="A1062" t="s">
        <v>2670</v>
      </c>
      <c r="B1062" t="s">
        <v>2671</v>
      </c>
      <c r="C1062" t="s">
        <v>1812</v>
      </c>
      <c r="E1062" t="s">
        <v>2672</v>
      </c>
      <c r="F1062">
        <v>4536</v>
      </c>
      <c r="G1062" t="s">
        <v>1395</v>
      </c>
      <c r="H1062" t="s">
        <v>16</v>
      </c>
      <c r="I1062" t="s">
        <v>845</v>
      </c>
      <c r="J1062" t="s">
        <v>846</v>
      </c>
      <c r="K1062" t="s">
        <v>1809</v>
      </c>
      <c r="L1062" t="str">
        <f>HYPERLINK("https://business-monitor.ch/de/companies/173456-pluess-cheminee?utm_source=oberaargau","PROFIL ANSEHEN")</f>
        <v>PROFIL ANSEHEN</v>
      </c>
    </row>
    <row r="1063" spans="1:12" x14ac:dyDescent="0.2">
      <c r="A1063" t="s">
        <v>3183</v>
      </c>
      <c r="B1063" t="s">
        <v>3184</v>
      </c>
      <c r="C1063" t="s">
        <v>13</v>
      </c>
      <c r="E1063" t="s">
        <v>13404</v>
      </c>
      <c r="F1063">
        <v>4912</v>
      </c>
      <c r="G1063" t="s">
        <v>64</v>
      </c>
      <c r="H1063" t="s">
        <v>16</v>
      </c>
      <c r="I1063" t="s">
        <v>1918</v>
      </c>
      <c r="J1063" t="s">
        <v>1919</v>
      </c>
      <c r="K1063" t="s">
        <v>1809</v>
      </c>
      <c r="L1063" t="str">
        <f>HYPERLINK("https://business-monitor.ch/de/companies/294666-h-marti-optik-ag?utm_source=oberaargau","PROFIL ANSEHEN")</f>
        <v>PROFIL ANSEHEN</v>
      </c>
    </row>
    <row r="1064" spans="1:12" x14ac:dyDescent="0.2">
      <c r="A1064" t="s">
        <v>3420</v>
      </c>
      <c r="B1064" t="s">
        <v>3421</v>
      </c>
      <c r="C1064" t="s">
        <v>1812</v>
      </c>
      <c r="E1064" t="s">
        <v>3422</v>
      </c>
      <c r="F1064">
        <v>4536</v>
      </c>
      <c r="G1064" t="s">
        <v>1395</v>
      </c>
      <c r="H1064" t="s">
        <v>16</v>
      </c>
      <c r="I1064" t="s">
        <v>24</v>
      </c>
      <c r="J1064" t="s">
        <v>25</v>
      </c>
      <c r="K1064" t="s">
        <v>1809</v>
      </c>
      <c r="L1064" t="str">
        <f>HYPERLINK("https://business-monitor.ch/de/companies/181832-apc-informatik-haug?utm_source=oberaargau","PROFIL ANSEHEN")</f>
        <v>PROFIL ANSEHEN</v>
      </c>
    </row>
    <row r="1065" spans="1:12" x14ac:dyDescent="0.2">
      <c r="A1065" t="s">
        <v>12647</v>
      </c>
      <c r="B1065" t="s">
        <v>5370</v>
      </c>
      <c r="C1065" t="s">
        <v>1812</v>
      </c>
      <c r="E1065" t="s">
        <v>5371</v>
      </c>
      <c r="F1065">
        <v>4704</v>
      </c>
      <c r="G1065" t="s">
        <v>221</v>
      </c>
      <c r="H1065" t="s">
        <v>16</v>
      </c>
      <c r="I1065" t="s">
        <v>5372</v>
      </c>
      <c r="J1065" t="s">
        <v>5373</v>
      </c>
      <c r="K1065" t="s">
        <v>1809</v>
      </c>
      <c r="L1065" t="str">
        <f>HYPERLINK("https://business-monitor.ch/de/companies/1214722-reist-softstone?utm_source=oberaargau","PROFIL ANSEHEN")</f>
        <v>PROFIL ANSEHEN</v>
      </c>
    </row>
    <row r="1066" spans="1:12" x14ac:dyDescent="0.2">
      <c r="A1066" t="s">
        <v>11209</v>
      </c>
      <c r="B1066" t="s">
        <v>11210</v>
      </c>
      <c r="C1066" t="s">
        <v>202</v>
      </c>
      <c r="E1066" t="s">
        <v>11211</v>
      </c>
      <c r="F1066">
        <v>4704</v>
      </c>
      <c r="G1066" t="s">
        <v>221</v>
      </c>
      <c r="H1066" t="s">
        <v>16</v>
      </c>
      <c r="I1066" t="s">
        <v>1296</v>
      </c>
      <c r="J1066" t="s">
        <v>1297</v>
      </c>
      <c r="K1066" t="s">
        <v>1809</v>
      </c>
      <c r="L1066" t="str">
        <f>HYPERLINK("https://business-monitor.ch/de/companies/1135630-beschrifterei-thomas-probst-gmbh?utm_source=oberaargau","PROFIL ANSEHEN")</f>
        <v>PROFIL ANSEHEN</v>
      </c>
    </row>
    <row r="1067" spans="1:12" x14ac:dyDescent="0.2">
      <c r="A1067" t="s">
        <v>10676</v>
      </c>
      <c r="B1067" t="s">
        <v>10677</v>
      </c>
      <c r="C1067" t="s">
        <v>1812</v>
      </c>
      <c r="E1067" t="s">
        <v>5312</v>
      </c>
      <c r="F1067">
        <v>4900</v>
      </c>
      <c r="G1067" t="s">
        <v>41</v>
      </c>
      <c r="H1067" t="s">
        <v>16</v>
      </c>
      <c r="I1067" t="s">
        <v>2213</v>
      </c>
      <c r="J1067" t="s">
        <v>2214</v>
      </c>
      <c r="K1067" t="s">
        <v>1809</v>
      </c>
      <c r="L1067" t="str">
        <f>HYPERLINK("https://business-monitor.ch/de/companies/1061464-crossfit-fortyninezero-b-gloor?utm_source=oberaargau","PROFIL ANSEHEN")</f>
        <v>PROFIL ANSEHEN</v>
      </c>
    </row>
    <row r="1068" spans="1:12" x14ac:dyDescent="0.2">
      <c r="A1068" t="s">
        <v>4190</v>
      </c>
      <c r="B1068" t="s">
        <v>14229</v>
      </c>
      <c r="C1068" t="s">
        <v>13</v>
      </c>
      <c r="E1068" t="s">
        <v>12223</v>
      </c>
      <c r="F1068">
        <v>4950</v>
      </c>
      <c r="G1068" t="s">
        <v>15</v>
      </c>
      <c r="H1068" t="s">
        <v>16</v>
      </c>
      <c r="I1068" t="s">
        <v>3861</v>
      </c>
      <c r="J1068" t="s">
        <v>3862</v>
      </c>
      <c r="K1068" t="s">
        <v>1809</v>
      </c>
      <c r="L1068" t="str">
        <f>HYPERLINK("https://business-monitor.ch/de/companies/1010096-hmo-plus-betriebsorganisation-ag?utm_source=oberaargau","PROFIL ANSEHEN")</f>
        <v>PROFIL ANSEHEN</v>
      </c>
    </row>
    <row r="1069" spans="1:12" x14ac:dyDescent="0.2">
      <c r="A1069" t="s">
        <v>3053</v>
      </c>
      <c r="B1069" t="s">
        <v>3054</v>
      </c>
      <c r="C1069" t="s">
        <v>202</v>
      </c>
      <c r="E1069" t="s">
        <v>3055</v>
      </c>
      <c r="F1069">
        <v>4538</v>
      </c>
      <c r="G1069" t="s">
        <v>71</v>
      </c>
      <c r="H1069" t="s">
        <v>16</v>
      </c>
      <c r="I1069" t="s">
        <v>1446</v>
      </c>
      <c r="J1069" t="s">
        <v>1447</v>
      </c>
      <c r="K1069" t="s">
        <v>1809</v>
      </c>
      <c r="L1069" t="str">
        <f>HYPERLINK("https://business-monitor.ch/de/companies/344340-strahm-haustechnik-gmbh?utm_source=oberaargau","PROFIL ANSEHEN")</f>
        <v>PROFIL ANSEHEN</v>
      </c>
    </row>
    <row r="1070" spans="1:12" x14ac:dyDescent="0.2">
      <c r="A1070" t="s">
        <v>13977</v>
      </c>
      <c r="B1070" t="s">
        <v>13978</v>
      </c>
      <c r="C1070" t="s">
        <v>202</v>
      </c>
      <c r="E1070" t="s">
        <v>5238</v>
      </c>
      <c r="F1070">
        <v>4914</v>
      </c>
      <c r="G1070" t="s">
        <v>105</v>
      </c>
      <c r="H1070" t="s">
        <v>16</v>
      </c>
      <c r="I1070" t="s">
        <v>2849</v>
      </c>
      <c r="J1070" t="s">
        <v>2850</v>
      </c>
      <c r="K1070" t="s">
        <v>1809</v>
      </c>
      <c r="L1070" t="str">
        <f>HYPERLINK("https://business-monitor.ch/de/companies/1272246-treuhand-beratung-scheidegger-gmbh?utm_source=oberaargau","PROFIL ANSEHEN")</f>
        <v>PROFIL ANSEHEN</v>
      </c>
    </row>
    <row r="1071" spans="1:12" x14ac:dyDescent="0.2">
      <c r="A1071" t="s">
        <v>10575</v>
      </c>
      <c r="B1071" t="s">
        <v>10576</v>
      </c>
      <c r="C1071" t="s">
        <v>1827</v>
      </c>
      <c r="E1071" t="s">
        <v>10577</v>
      </c>
      <c r="F1071">
        <v>3365</v>
      </c>
      <c r="G1071" t="s">
        <v>1008</v>
      </c>
      <c r="H1071" t="s">
        <v>16</v>
      </c>
      <c r="I1071" t="s">
        <v>1865</v>
      </c>
      <c r="J1071" t="s">
        <v>1866</v>
      </c>
      <c r="K1071" t="s">
        <v>1809</v>
      </c>
      <c r="L1071" t="str">
        <f>HYPERLINK("https://business-monitor.ch/de/companies/33166-allround-service-adrian-ruth-huber-oesch?utm_source=oberaargau","PROFIL ANSEHEN")</f>
        <v>PROFIL ANSEHEN</v>
      </c>
    </row>
    <row r="1072" spans="1:12" x14ac:dyDescent="0.2">
      <c r="A1072" t="s">
        <v>3858</v>
      </c>
      <c r="B1072" t="s">
        <v>3859</v>
      </c>
      <c r="C1072" t="s">
        <v>202</v>
      </c>
      <c r="E1072" t="s">
        <v>3860</v>
      </c>
      <c r="F1072">
        <v>4900</v>
      </c>
      <c r="G1072" t="s">
        <v>41</v>
      </c>
      <c r="H1072" t="s">
        <v>16</v>
      </c>
      <c r="I1072" t="s">
        <v>2213</v>
      </c>
      <c r="J1072" t="s">
        <v>2214</v>
      </c>
      <c r="K1072" t="s">
        <v>1809</v>
      </c>
      <c r="L1072" t="str">
        <f>HYPERLINK("https://business-monitor.ch/de/companies/1052238-your-optimum-gmbh?utm_source=oberaargau","PROFIL ANSEHEN")</f>
        <v>PROFIL ANSEHEN</v>
      </c>
    </row>
    <row r="1073" spans="1:12" x14ac:dyDescent="0.2">
      <c r="A1073" t="s">
        <v>12493</v>
      </c>
      <c r="B1073" t="s">
        <v>12494</v>
      </c>
      <c r="C1073" t="s">
        <v>1812</v>
      </c>
      <c r="E1073" t="s">
        <v>12495</v>
      </c>
      <c r="F1073">
        <v>3380</v>
      </c>
      <c r="G1073" t="s">
        <v>29</v>
      </c>
      <c r="H1073" t="s">
        <v>16</v>
      </c>
      <c r="I1073" t="s">
        <v>464</v>
      </c>
      <c r="J1073" t="s">
        <v>465</v>
      </c>
      <c r="K1073" t="s">
        <v>1809</v>
      </c>
      <c r="L1073" t="str">
        <f>HYPERLINK("https://business-monitor.ch/de/companies/1211269-mitrovic-transporte?utm_source=oberaargau","PROFIL ANSEHEN")</f>
        <v>PROFIL ANSEHEN</v>
      </c>
    </row>
    <row r="1074" spans="1:12" x14ac:dyDescent="0.2">
      <c r="A1074" t="s">
        <v>14178</v>
      </c>
      <c r="B1074" t="s">
        <v>14179</v>
      </c>
      <c r="C1074" t="s">
        <v>1812</v>
      </c>
      <c r="E1074" t="s">
        <v>14180</v>
      </c>
      <c r="F1074">
        <v>4900</v>
      </c>
      <c r="G1074" t="s">
        <v>41</v>
      </c>
      <c r="H1074" t="s">
        <v>16</v>
      </c>
      <c r="I1074" t="s">
        <v>2249</v>
      </c>
      <c r="J1074" t="s">
        <v>2250</v>
      </c>
      <c r="K1074" t="s">
        <v>1809</v>
      </c>
      <c r="L1074" t="str">
        <f>HYPERLINK("https://business-monitor.ch/de/companies/1294757-shabani-allround-services?utm_source=oberaargau","PROFIL ANSEHEN")</f>
        <v>PROFIL ANSEHEN</v>
      </c>
    </row>
    <row r="1075" spans="1:12" x14ac:dyDescent="0.2">
      <c r="A1075" t="s">
        <v>3442</v>
      </c>
      <c r="B1075" t="s">
        <v>3443</v>
      </c>
      <c r="C1075" t="s">
        <v>13</v>
      </c>
      <c r="E1075" t="s">
        <v>3444</v>
      </c>
      <c r="F1075">
        <v>3362</v>
      </c>
      <c r="G1075" t="s">
        <v>47</v>
      </c>
      <c r="H1075" t="s">
        <v>16</v>
      </c>
      <c r="I1075" t="s">
        <v>157</v>
      </c>
      <c r="J1075" t="s">
        <v>158</v>
      </c>
      <c r="K1075" t="s">
        <v>1809</v>
      </c>
      <c r="L1075" t="str">
        <f>HYPERLINK("https://business-monitor.ch/de/companies/173990-bono-ag?utm_source=oberaargau","PROFIL ANSEHEN")</f>
        <v>PROFIL ANSEHEN</v>
      </c>
    </row>
    <row r="1076" spans="1:12" x14ac:dyDescent="0.2">
      <c r="A1076" t="s">
        <v>9289</v>
      </c>
      <c r="B1076" t="s">
        <v>9290</v>
      </c>
      <c r="C1076" t="s">
        <v>13</v>
      </c>
      <c r="E1076" t="s">
        <v>9291</v>
      </c>
      <c r="F1076">
        <v>4704</v>
      </c>
      <c r="G1076" t="s">
        <v>221</v>
      </c>
      <c r="H1076" t="s">
        <v>16</v>
      </c>
      <c r="I1076" t="s">
        <v>723</v>
      </c>
      <c r="J1076" t="s">
        <v>724</v>
      </c>
      <c r="K1076" t="s">
        <v>1809</v>
      </c>
      <c r="L1076" t="str">
        <f>HYPERLINK("https://business-monitor.ch/de/companies/99151-hl-holzschnitzel-ag-niederbipp?utm_source=oberaargau","PROFIL ANSEHEN")</f>
        <v>PROFIL ANSEHEN</v>
      </c>
    </row>
    <row r="1077" spans="1:12" x14ac:dyDescent="0.2">
      <c r="A1077" t="s">
        <v>13047</v>
      </c>
      <c r="B1077" t="s">
        <v>13048</v>
      </c>
      <c r="C1077" t="s">
        <v>1812</v>
      </c>
      <c r="E1077" t="s">
        <v>10459</v>
      </c>
      <c r="F1077">
        <v>4938</v>
      </c>
      <c r="G1077" t="s">
        <v>618</v>
      </c>
      <c r="H1077" t="s">
        <v>16</v>
      </c>
      <c r="I1077" t="s">
        <v>824</v>
      </c>
      <c r="J1077" t="s">
        <v>825</v>
      </c>
      <c r="K1077" t="s">
        <v>1809</v>
      </c>
      <c r="L1077" t="str">
        <f>HYPERLINK("https://business-monitor.ch/de/companies/1241639-pizza-oregano-coban?utm_source=oberaargau","PROFIL ANSEHEN")</f>
        <v>PROFIL ANSEHEN</v>
      </c>
    </row>
    <row r="1078" spans="1:12" x14ac:dyDescent="0.2">
      <c r="A1078" t="s">
        <v>509</v>
      </c>
      <c r="B1078" t="s">
        <v>510</v>
      </c>
      <c r="C1078" t="s">
        <v>13</v>
      </c>
      <c r="E1078" t="s">
        <v>311</v>
      </c>
      <c r="F1078">
        <v>3360</v>
      </c>
      <c r="G1078" t="s">
        <v>35</v>
      </c>
      <c r="H1078" t="s">
        <v>16</v>
      </c>
      <c r="I1078" t="s">
        <v>157</v>
      </c>
      <c r="J1078" t="s">
        <v>158</v>
      </c>
      <c r="K1078" t="s">
        <v>1809</v>
      </c>
      <c r="L1078" t="str">
        <f>HYPERLINK("https://business-monitor.ch/de/companies/108112-kreuz-herzogenbuchsee-immobilien-ag?utm_source=oberaargau","PROFIL ANSEHEN")</f>
        <v>PROFIL ANSEHEN</v>
      </c>
    </row>
    <row r="1079" spans="1:12" x14ac:dyDescent="0.2">
      <c r="A1079" t="s">
        <v>10257</v>
      </c>
      <c r="B1079" t="s">
        <v>10258</v>
      </c>
      <c r="C1079" t="s">
        <v>202</v>
      </c>
      <c r="D1079" t="s">
        <v>10259</v>
      </c>
      <c r="E1079" t="s">
        <v>2088</v>
      </c>
      <c r="F1079">
        <v>4922</v>
      </c>
      <c r="G1079" t="s">
        <v>99</v>
      </c>
      <c r="H1079" t="s">
        <v>16</v>
      </c>
      <c r="I1079" t="s">
        <v>1898</v>
      </c>
      <c r="J1079" t="s">
        <v>1899</v>
      </c>
      <c r="K1079" t="s">
        <v>1809</v>
      </c>
      <c r="L1079" t="str">
        <f>HYPERLINK("https://business-monitor.ch/de/companies/588574-fuerobe-brot-gmbh?utm_source=oberaargau","PROFIL ANSEHEN")</f>
        <v>PROFIL ANSEHEN</v>
      </c>
    </row>
    <row r="1080" spans="1:12" x14ac:dyDescent="0.2">
      <c r="A1080" t="s">
        <v>9594</v>
      </c>
      <c r="B1080" t="s">
        <v>9595</v>
      </c>
      <c r="C1080" t="s">
        <v>1812</v>
      </c>
      <c r="E1080" t="s">
        <v>9596</v>
      </c>
      <c r="F1080">
        <v>4922</v>
      </c>
      <c r="G1080" t="s">
        <v>1318</v>
      </c>
      <c r="H1080" t="s">
        <v>16</v>
      </c>
      <c r="I1080" t="s">
        <v>624</v>
      </c>
      <c r="J1080" t="s">
        <v>625</v>
      </c>
      <c r="K1080" t="s">
        <v>1809</v>
      </c>
      <c r="L1080" t="str">
        <f>HYPERLINK("https://business-monitor.ch/de/companies/724734-buergin-holzfachmann?utm_source=oberaargau","PROFIL ANSEHEN")</f>
        <v>PROFIL ANSEHEN</v>
      </c>
    </row>
    <row r="1081" spans="1:12" x14ac:dyDescent="0.2">
      <c r="A1081" t="s">
        <v>12313</v>
      </c>
      <c r="B1081" t="s">
        <v>12314</v>
      </c>
      <c r="C1081" t="s">
        <v>1812</v>
      </c>
      <c r="E1081" t="s">
        <v>5474</v>
      </c>
      <c r="F1081">
        <v>3368</v>
      </c>
      <c r="G1081" t="s">
        <v>308</v>
      </c>
      <c r="H1081" t="s">
        <v>16</v>
      </c>
      <c r="I1081" t="s">
        <v>824</v>
      </c>
      <c r="J1081" t="s">
        <v>825</v>
      </c>
      <c r="K1081" t="s">
        <v>1809</v>
      </c>
      <c r="L1081" t="str">
        <f>HYPERLINK("https://business-monitor.ch/de/companies/1199300-restaurant-roessli-lidija-pfaeffli?utm_source=oberaargau","PROFIL ANSEHEN")</f>
        <v>PROFIL ANSEHEN</v>
      </c>
    </row>
    <row r="1082" spans="1:12" x14ac:dyDescent="0.2">
      <c r="A1082" t="s">
        <v>5255</v>
      </c>
      <c r="B1082" t="s">
        <v>5256</v>
      </c>
      <c r="C1082" t="s">
        <v>1812</v>
      </c>
      <c r="E1082" t="s">
        <v>5257</v>
      </c>
      <c r="F1082">
        <v>4917</v>
      </c>
      <c r="G1082" t="s">
        <v>376</v>
      </c>
      <c r="H1082" t="s">
        <v>16</v>
      </c>
      <c r="I1082" t="s">
        <v>2231</v>
      </c>
      <c r="J1082" t="s">
        <v>2232</v>
      </c>
      <c r="K1082" t="s">
        <v>1809</v>
      </c>
      <c r="L1082" t="str">
        <f>HYPERLINK("https://business-monitor.ch/de/companies/127471-andreas-boegli?utm_source=oberaargau","PROFIL ANSEHEN")</f>
        <v>PROFIL ANSEHEN</v>
      </c>
    </row>
    <row r="1083" spans="1:12" x14ac:dyDescent="0.2">
      <c r="A1083" t="s">
        <v>5243</v>
      </c>
      <c r="B1083" t="s">
        <v>5244</v>
      </c>
      <c r="C1083" t="s">
        <v>1812</v>
      </c>
      <c r="E1083" t="s">
        <v>2169</v>
      </c>
      <c r="F1083">
        <v>4914</v>
      </c>
      <c r="G1083" t="s">
        <v>717</v>
      </c>
      <c r="H1083" t="s">
        <v>16</v>
      </c>
      <c r="I1083" t="s">
        <v>5245</v>
      </c>
      <c r="J1083" t="s">
        <v>5246</v>
      </c>
      <c r="K1083" t="s">
        <v>1809</v>
      </c>
      <c r="L1083" t="str">
        <f>HYPERLINK("https://business-monitor.ch/de/companies/306985-hegi-innendekorationen?utm_source=oberaargau","PROFIL ANSEHEN")</f>
        <v>PROFIL ANSEHEN</v>
      </c>
    </row>
    <row r="1084" spans="1:12" x14ac:dyDescent="0.2">
      <c r="A1084" t="s">
        <v>6886</v>
      </c>
      <c r="B1084" t="s">
        <v>6887</v>
      </c>
      <c r="C1084" t="s">
        <v>13</v>
      </c>
      <c r="E1084" t="s">
        <v>5981</v>
      </c>
      <c r="F1084">
        <v>4911</v>
      </c>
      <c r="G1084" t="s">
        <v>1005</v>
      </c>
      <c r="H1084" t="s">
        <v>16</v>
      </c>
      <c r="I1084" t="s">
        <v>464</v>
      </c>
      <c r="J1084" t="s">
        <v>465</v>
      </c>
      <c r="K1084" t="s">
        <v>1809</v>
      </c>
      <c r="L1084" t="str">
        <f>HYPERLINK("https://business-monitor.ch/de/companies/30468-daniel-gerber-transporte-ag?utm_source=oberaargau","PROFIL ANSEHEN")</f>
        <v>PROFIL ANSEHEN</v>
      </c>
    </row>
    <row r="1085" spans="1:12" x14ac:dyDescent="0.2">
      <c r="A1085" t="s">
        <v>4510</v>
      </c>
      <c r="B1085" t="s">
        <v>4511</v>
      </c>
      <c r="C1085" t="s">
        <v>13</v>
      </c>
      <c r="E1085" t="s">
        <v>4512</v>
      </c>
      <c r="F1085">
        <v>4704</v>
      </c>
      <c r="G1085" t="s">
        <v>221</v>
      </c>
      <c r="H1085" t="s">
        <v>16</v>
      </c>
      <c r="I1085" t="s">
        <v>2197</v>
      </c>
      <c r="J1085" t="s">
        <v>2198</v>
      </c>
      <c r="K1085" t="s">
        <v>1809</v>
      </c>
      <c r="L1085" t="str">
        <f>HYPERLINK("https://business-monitor.ch/de/companies/693802-mas-dental-ag?utm_source=oberaargau","PROFIL ANSEHEN")</f>
        <v>PROFIL ANSEHEN</v>
      </c>
    </row>
    <row r="1086" spans="1:12" x14ac:dyDescent="0.2">
      <c r="A1086" t="s">
        <v>8295</v>
      </c>
      <c r="B1086" t="s">
        <v>8296</v>
      </c>
      <c r="C1086" t="s">
        <v>13</v>
      </c>
      <c r="E1086" t="s">
        <v>220</v>
      </c>
      <c r="F1086">
        <v>4704</v>
      </c>
      <c r="G1086" t="s">
        <v>221</v>
      </c>
      <c r="H1086" t="s">
        <v>16</v>
      </c>
      <c r="I1086" t="s">
        <v>222</v>
      </c>
      <c r="J1086" t="s">
        <v>223</v>
      </c>
      <c r="K1086" t="s">
        <v>1809</v>
      </c>
      <c r="L1086" t="str">
        <f>HYPERLINK("https://business-monitor.ch/de/companies/729979-sun-store-health-care-ag?utm_source=oberaargau","PROFIL ANSEHEN")</f>
        <v>PROFIL ANSEHEN</v>
      </c>
    </row>
    <row r="1087" spans="1:12" x14ac:dyDescent="0.2">
      <c r="A1087" t="s">
        <v>3881</v>
      </c>
      <c r="B1087" t="s">
        <v>3882</v>
      </c>
      <c r="C1087" t="s">
        <v>1812</v>
      </c>
      <c r="E1087" t="s">
        <v>2478</v>
      </c>
      <c r="F1087">
        <v>4900</v>
      </c>
      <c r="G1087" t="s">
        <v>41</v>
      </c>
      <c r="H1087" t="s">
        <v>16</v>
      </c>
      <c r="I1087" t="s">
        <v>2587</v>
      </c>
      <c r="J1087" t="s">
        <v>2588</v>
      </c>
      <c r="K1087" t="s">
        <v>1809</v>
      </c>
      <c r="L1087" t="str">
        <f>HYPERLINK("https://business-monitor.ch/de/companies/688474-steamcave-oliver-grimm?utm_source=oberaargau","PROFIL ANSEHEN")</f>
        <v>PROFIL ANSEHEN</v>
      </c>
    </row>
    <row r="1088" spans="1:12" x14ac:dyDescent="0.2">
      <c r="A1088" t="s">
        <v>11460</v>
      </c>
      <c r="B1088" t="s">
        <v>11461</v>
      </c>
      <c r="C1088" t="s">
        <v>202</v>
      </c>
      <c r="E1088" t="s">
        <v>1752</v>
      </c>
      <c r="F1088">
        <v>4537</v>
      </c>
      <c r="G1088" t="s">
        <v>113</v>
      </c>
      <c r="H1088" t="s">
        <v>16</v>
      </c>
      <c r="I1088" t="s">
        <v>232</v>
      </c>
      <c r="J1088" t="s">
        <v>233</v>
      </c>
      <c r="K1088" t="s">
        <v>1809</v>
      </c>
      <c r="L1088" t="str">
        <f>HYPERLINK("https://business-monitor.ch/de/companies/1146428-c-h-treuhand-swiss-gmbh?utm_source=oberaargau","PROFIL ANSEHEN")</f>
        <v>PROFIL ANSEHEN</v>
      </c>
    </row>
    <row r="1089" spans="1:12" x14ac:dyDescent="0.2">
      <c r="A1089" t="s">
        <v>7997</v>
      </c>
      <c r="B1089" t="s">
        <v>7998</v>
      </c>
      <c r="C1089" t="s">
        <v>1812</v>
      </c>
      <c r="E1089" t="s">
        <v>5842</v>
      </c>
      <c r="F1089">
        <v>4912</v>
      </c>
      <c r="G1089" t="s">
        <v>64</v>
      </c>
      <c r="H1089" t="s">
        <v>16</v>
      </c>
      <c r="I1089" t="s">
        <v>2231</v>
      </c>
      <c r="J1089" t="s">
        <v>2232</v>
      </c>
      <c r="K1089" t="s">
        <v>1809</v>
      </c>
      <c r="L1089" t="str">
        <f>HYPERLINK("https://business-monitor.ch/de/companies/188446-rene-truessel?utm_source=oberaargau","PROFIL ANSEHEN")</f>
        <v>PROFIL ANSEHEN</v>
      </c>
    </row>
    <row r="1090" spans="1:12" x14ac:dyDescent="0.2">
      <c r="A1090" t="s">
        <v>7481</v>
      </c>
      <c r="B1090" t="s">
        <v>7482</v>
      </c>
      <c r="C1090" t="s">
        <v>202</v>
      </c>
      <c r="E1090" t="s">
        <v>14198</v>
      </c>
      <c r="F1090">
        <v>4916</v>
      </c>
      <c r="G1090" t="s">
        <v>780</v>
      </c>
      <c r="H1090" t="s">
        <v>16</v>
      </c>
      <c r="I1090" t="s">
        <v>48</v>
      </c>
      <c r="J1090" t="s">
        <v>49</v>
      </c>
      <c r="K1090" t="s">
        <v>1809</v>
      </c>
      <c r="L1090" t="str">
        <f>HYPERLINK("https://business-monitor.ch/de/companies/731645-fiechter-maschinentechnik-gmbh?utm_source=oberaargau","PROFIL ANSEHEN")</f>
        <v>PROFIL ANSEHEN</v>
      </c>
    </row>
    <row r="1091" spans="1:12" x14ac:dyDescent="0.2">
      <c r="A1091" t="s">
        <v>7642</v>
      </c>
      <c r="B1091" t="s">
        <v>7643</v>
      </c>
      <c r="C1091" t="s">
        <v>202</v>
      </c>
      <c r="E1091" t="s">
        <v>7644</v>
      </c>
      <c r="F1091">
        <v>4900</v>
      </c>
      <c r="G1091" t="s">
        <v>41</v>
      </c>
      <c r="H1091" t="s">
        <v>16</v>
      </c>
      <c r="I1091" t="s">
        <v>7350</v>
      </c>
      <c r="J1091" t="s">
        <v>7351</v>
      </c>
      <c r="K1091" t="s">
        <v>1809</v>
      </c>
      <c r="L1091" t="str">
        <f>HYPERLINK("https://business-monitor.ch/de/companies/643493-faff-transport-gmbh?utm_source=oberaargau","PROFIL ANSEHEN")</f>
        <v>PROFIL ANSEHEN</v>
      </c>
    </row>
    <row r="1092" spans="1:12" x14ac:dyDescent="0.2">
      <c r="A1092" t="s">
        <v>9973</v>
      </c>
      <c r="B1092" t="s">
        <v>9974</v>
      </c>
      <c r="C1092" t="s">
        <v>202</v>
      </c>
      <c r="E1092" t="s">
        <v>9975</v>
      </c>
      <c r="F1092">
        <v>4900</v>
      </c>
      <c r="G1092" t="s">
        <v>41</v>
      </c>
      <c r="H1092" t="s">
        <v>16</v>
      </c>
      <c r="I1092" t="s">
        <v>935</v>
      </c>
      <c r="J1092" t="s">
        <v>936</v>
      </c>
      <c r="K1092" t="s">
        <v>1809</v>
      </c>
      <c r="L1092" t="str">
        <f>HYPERLINK("https://business-monitor.ch/de/companies/732751-mf-my-dream-home-gmbh?utm_source=oberaargau","PROFIL ANSEHEN")</f>
        <v>PROFIL ANSEHEN</v>
      </c>
    </row>
    <row r="1093" spans="1:12" x14ac:dyDescent="0.2">
      <c r="A1093" t="s">
        <v>8040</v>
      </c>
      <c r="B1093" t="s">
        <v>8041</v>
      </c>
      <c r="C1093" t="s">
        <v>202</v>
      </c>
      <c r="E1093" t="s">
        <v>8042</v>
      </c>
      <c r="F1093">
        <v>4923</v>
      </c>
      <c r="G1093" t="s">
        <v>732</v>
      </c>
      <c r="H1093" t="s">
        <v>16</v>
      </c>
      <c r="I1093" t="s">
        <v>854</v>
      </c>
      <c r="J1093" t="s">
        <v>855</v>
      </c>
      <c r="K1093" t="s">
        <v>1809</v>
      </c>
      <c r="L1093" t="str">
        <f>HYPERLINK("https://business-monitor.ch/de/companies/356103-koelliker-consulting-gmbh?utm_source=oberaargau","PROFIL ANSEHEN")</f>
        <v>PROFIL ANSEHEN</v>
      </c>
    </row>
    <row r="1094" spans="1:12" x14ac:dyDescent="0.2">
      <c r="A1094" t="s">
        <v>10667</v>
      </c>
      <c r="B1094" t="s">
        <v>10668</v>
      </c>
      <c r="C1094" t="s">
        <v>202</v>
      </c>
      <c r="E1094" t="s">
        <v>10410</v>
      </c>
      <c r="F1094">
        <v>4922</v>
      </c>
      <c r="G1094" t="s">
        <v>1318</v>
      </c>
      <c r="H1094" t="s">
        <v>16</v>
      </c>
      <c r="I1094" t="s">
        <v>3861</v>
      </c>
      <c r="J1094" t="s">
        <v>3862</v>
      </c>
      <c r="K1094" t="s">
        <v>1809</v>
      </c>
      <c r="L1094" t="str">
        <f>HYPERLINK("https://business-monitor.ch/de/companies/1069293-mediservice-felber-gmbh?utm_source=oberaargau","PROFIL ANSEHEN")</f>
        <v>PROFIL ANSEHEN</v>
      </c>
    </row>
    <row r="1095" spans="1:12" x14ac:dyDescent="0.2">
      <c r="A1095" t="s">
        <v>11804</v>
      </c>
      <c r="B1095" t="s">
        <v>11805</v>
      </c>
      <c r="C1095" t="s">
        <v>1812</v>
      </c>
      <c r="E1095" t="s">
        <v>11806</v>
      </c>
      <c r="F1095">
        <v>4900</v>
      </c>
      <c r="G1095" t="s">
        <v>41</v>
      </c>
      <c r="H1095" t="s">
        <v>16</v>
      </c>
      <c r="I1095" t="s">
        <v>139</v>
      </c>
      <c r="J1095" t="s">
        <v>140</v>
      </c>
      <c r="K1095" t="s">
        <v>1809</v>
      </c>
      <c r="L1095" t="str">
        <f>HYPERLINK("https://business-monitor.ch/de/companies/1151625-vox-natio-inhaber-tobias-hauser?utm_source=oberaargau","PROFIL ANSEHEN")</f>
        <v>PROFIL ANSEHEN</v>
      </c>
    </row>
    <row r="1096" spans="1:12" x14ac:dyDescent="0.2">
      <c r="A1096" t="s">
        <v>4668</v>
      </c>
      <c r="B1096" t="s">
        <v>4669</v>
      </c>
      <c r="C1096" t="s">
        <v>202</v>
      </c>
      <c r="E1096" t="s">
        <v>4670</v>
      </c>
      <c r="F1096">
        <v>3360</v>
      </c>
      <c r="G1096" t="s">
        <v>35</v>
      </c>
      <c r="H1096" t="s">
        <v>16</v>
      </c>
      <c r="I1096" t="s">
        <v>464</v>
      </c>
      <c r="J1096" t="s">
        <v>465</v>
      </c>
      <c r="K1096" t="s">
        <v>1809</v>
      </c>
      <c r="L1096" t="str">
        <f>HYPERLINK("https://business-monitor.ch/de/companies/614877-david-fuerst-logistik-gmbh?utm_source=oberaargau","PROFIL ANSEHEN")</f>
        <v>PROFIL ANSEHEN</v>
      </c>
    </row>
    <row r="1097" spans="1:12" x14ac:dyDescent="0.2">
      <c r="A1097" t="s">
        <v>5267</v>
      </c>
      <c r="B1097" t="s">
        <v>5268</v>
      </c>
      <c r="C1097" t="s">
        <v>1812</v>
      </c>
      <c r="E1097" t="s">
        <v>5269</v>
      </c>
      <c r="F1097">
        <v>3380</v>
      </c>
      <c r="G1097" t="s">
        <v>29</v>
      </c>
      <c r="H1097" t="s">
        <v>16</v>
      </c>
      <c r="I1097" t="s">
        <v>331</v>
      </c>
      <c r="J1097" t="s">
        <v>332</v>
      </c>
      <c r="K1097" t="s">
        <v>1809</v>
      </c>
      <c r="L1097" t="str">
        <f>HYPERLINK("https://business-monitor.ch/de/companies/83604-mulser-co-inhaber-anton-mulser?utm_source=oberaargau","PROFIL ANSEHEN")</f>
        <v>PROFIL ANSEHEN</v>
      </c>
    </row>
    <row r="1098" spans="1:12" x14ac:dyDescent="0.2">
      <c r="A1098" t="s">
        <v>5264</v>
      </c>
      <c r="B1098" t="s">
        <v>5265</v>
      </c>
      <c r="C1098" t="s">
        <v>1812</v>
      </c>
      <c r="E1098" t="s">
        <v>5266</v>
      </c>
      <c r="F1098">
        <v>4538</v>
      </c>
      <c r="G1098" t="s">
        <v>71</v>
      </c>
      <c r="H1098" t="s">
        <v>16</v>
      </c>
      <c r="I1098" t="s">
        <v>1860</v>
      </c>
      <c r="J1098" t="s">
        <v>1861</v>
      </c>
      <c r="K1098" t="s">
        <v>1809</v>
      </c>
      <c r="L1098" t="str">
        <f>HYPERLINK("https://business-monitor.ch/de/companies/113269-hairstudio-annegret-anna-margareta-obi-ryser?utm_source=oberaargau","PROFIL ANSEHEN")</f>
        <v>PROFIL ANSEHEN</v>
      </c>
    </row>
    <row r="1099" spans="1:12" x14ac:dyDescent="0.2">
      <c r="A1099" t="s">
        <v>9968</v>
      </c>
      <c r="B1099" t="s">
        <v>9969</v>
      </c>
      <c r="C1099" t="s">
        <v>1812</v>
      </c>
      <c r="E1099" t="s">
        <v>9970</v>
      </c>
      <c r="F1099">
        <v>4539</v>
      </c>
      <c r="G1099" t="s">
        <v>1134</v>
      </c>
      <c r="H1099" t="s">
        <v>16</v>
      </c>
      <c r="I1099" t="s">
        <v>570</v>
      </c>
      <c r="J1099" t="s">
        <v>571</v>
      </c>
      <c r="K1099" t="s">
        <v>1809</v>
      </c>
      <c r="L1099" t="str">
        <f>HYPERLINK("https://business-monitor.ch/de/companies/929519-waelchli-heizungstechnik-brennerservice?utm_source=oberaargau","PROFIL ANSEHEN")</f>
        <v>PROFIL ANSEHEN</v>
      </c>
    </row>
    <row r="1100" spans="1:12" x14ac:dyDescent="0.2">
      <c r="A1100" t="s">
        <v>6703</v>
      </c>
      <c r="B1100" t="s">
        <v>6704</v>
      </c>
      <c r="C1100" t="s">
        <v>13</v>
      </c>
      <c r="E1100" t="s">
        <v>90</v>
      </c>
      <c r="F1100">
        <v>4900</v>
      </c>
      <c r="G1100" t="s">
        <v>41</v>
      </c>
      <c r="H1100" t="s">
        <v>16</v>
      </c>
      <c r="I1100" t="s">
        <v>587</v>
      </c>
      <c r="J1100" t="s">
        <v>588</v>
      </c>
      <c r="K1100" t="s">
        <v>1809</v>
      </c>
      <c r="L1100" t="str">
        <f>HYPERLINK("https://business-monitor.ch/de/companies/151534-hertig-ingenieure-ag?utm_source=oberaargau","PROFIL ANSEHEN")</f>
        <v>PROFIL ANSEHEN</v>
      </c>
    </row>
    <row r="1101" spans="1:12" x14ac:dyDescent="0.2">
      <c r="A1101" t="s">
        <v>11594</v>
      </c>
      <c r="B1101" t="s">
        <v>11595</v>
      </c>
      <c r="C1101" t="s">
        <v>2258</v>
      </c>
      <c r="E1101" t="s">
        <v>85</v>
      </c>
      <c r="F1101">
        <v>3362</v>
      </c>
      <c r="G1101" t="s">
        <v>47</v>
      </c>
      <c r="H1101" t="s">
        <v>16</v>
      </c>
      <c r="I1101" t="s">
        <v>640</v>
      </c>
      <c r="J1101" t="s">
        <v>641</v>
      </c>
      <c r="K1101" t="s">
        <v>1809</v>
      </c>
      <c r="L1101" t="str">
        <f>HYPERLINK("https://business-monitor.ch/de/companies/319002-kleintiere-schweiz?utm_source=oberaargau","PROFIL ANSEHEN")</f>
        <v>PROFIL ANSEHEN</v>
      </c>
    </row>
    <row r="1102" spans="1:12" x14ac:dyDescent="0.2">
      <c r="A1102" t="s">
        <v>7836</v>
      </c>
      <c r="B1102" t="s">
        <v>7837</v>
      </c>
      <c r="C1102" t="s">
        <v>1812</v>
      </c>
      <c r="E1102" t="s">
        <v>7838</v>
      </c>
      <c r="F1102">
        <v>4932</v>
      </c>
      <c r="G1102" t="s">
        <v>325</v>
      </c>
      <c r="H1102" t="s">
        <v>16</v>
      </c>
      <c r="I1102" t="s">
        <v>824</v>
      </c>
      <c r="J1102" t="s">
        <v>825</v>
      </c>
      <c r="K1102" t="s">
        <v>1809</v>
      </c>
      <c r="L1102" t="str">
        <f>HYPERLINK("https://business-monitor.ch/de/companies/734798-anliker-imbiss?utm_source=oberaargau","PROFIL ANSEHEN")</f>
        <v>PROFIL ANSEHEN</v>
      </c>
    </row>
    <row r="1103" spans="1:12" x14ac:dyDescent="0.2">
      <c r="A1103" t="s">
        <v>9479</v>
      </c>
      <c r="B1103" t="s">
        <v>9480</v>
      </c>
      <c r="C1103" t="s">
        <v>1408</v>
      </c>
      <c r="E1103" t="s">
        <v>8110</v>
      </c>
      <c r="F1103">
        <v>4900</v>
      </c>
      <c r="G1103" t="s">
        <v>41</v>
      </c>
      <c r="H1103" t="s">
        <v>16</v>
      </c>
      <c r="I1103" t="s">
        <v>2900</v>
      </c>
      <c r="J1103" t="s">
        <v>2901</v>
      </c>
      <c r="K1103" t="s">
        <v>1809</v>
      </c>
      <c r="L1103" t="str">
        <f>HYPERLINK("https://business-monitor.ch/de/companies/924079-7drive-gmbh?utm_source=oberaargau","PROFIL ANSEHEN")</f>
        <v>PROFIL ANSEHEN</v>
      </c>
    </row>
    <row r="1104" spans="1:12" x14ac:dyDescent="0.2">
      <c r="A1104" t="s">
        <v>9622</v>
      </c>
      <c r="B1104" t="s">
        <v>9623</v>
      </c>
      <c r="C1104" t="s">
        <v>1812</v>
      </c>
      <c r="E1104" t="s">
        <v>9624</v>
      </c>
      <c r="F1104">
        <v>4954</v>
      </c>
      <c r="G1104" t="s">
        <v>359</v>
      </c>
      <c r="H1104" t="s">
        <v>16</v>
      </c>
      <c r="I1104" t="s">
        <v>2315</v>
      </c>
      <c r="J1104" t="s">
        <v>2316</v>
      </c>
      <c r="K1104" t="s">
        <v>1809</v>
      </c>
      <c r="L1104" t="str">
        <f>HYPERLINK("https://business-monitor.ch/de/companies/539052-hubitech-daniel-hubacher?utm_source=oberaargau","PROFIL ANSEHEN")</f>
        <v>PROFIL ANSEHEN</v>
      </c>
    </row>
    <row r="1105" spans="1:12" x14ac:dyDescent="0.2">
      <c r="A1105" t="s">
        <v>5505</v>
      </c>
      <c r="B1105" t="s">
        <v>5506</v>
      </c>
      <c r="C1105" t="s">
        <v>202</v>
      </c>
      <c r="E1105" t="s">
        <v>5507</v>
      </c>
      <c r="F1105">
        <v>4912</v>
      </c>
      <c r="G1105" t="s">
        <v>64</v>
      </c>
      <c r="H1105" t="s">
        <v>16</v>
      </c>
      <c r="I1105" t="s">
        <v>1543</v>
      </c>
      <c r="J1105" t="s">
        <v>1544</v>
      </c>
      <c r="K1105" t="s">
        <v>1809</v>
      </c>
      <c r="L1105" t="str">
        <f>HYPERLINK("https://business-monitor.ch/de/companies/124887-roth-prozesstechnik-gmbh?utm_source=oberaargau","PROFIL ANSEHEN")</f>
        <v>PROFIL ANSEHEN</v>
      </c>
    </row>
    <row r="1106" spans="1:12" x14ac:dyDescent="0.2">
      <c r="A1106" t="s">
        <v>5247</v>
      </c>
      <c r="B1106" t="s">
        <v>5248</v>
      </c>
      <c r="C1106" t="s">
        <v>1812</v>
      </c>
      <c r="E1106" t="s">
        <v>5249</v>
      </c>
      <c r="F1106">
        <v>4934</v>
      </c>
      <c r="G1106" t="s">
        <v>670</v>
      </c>
      <c r="H1106" t="s">
        <v>16</v>
      </c>
      <c r="I1106" t="s">
        <v>5250</v>
      </c>
      <c r="J1106" t="s">
        <v>5251</v>
      </c>
      <c r="K1106" t="s">
        <v>1809</v>
      </c>
      <c r="L1106" t="str">
        <f>HYPERLINK("https://business-monitor.ch/de/companies/115857-glasschmitte-regula-kobel?utm_source=oberaargau","PROFIL ANSEHEN")</f>
        <v>PROFIL ANSEHEN</v>
      </c>
    </row>
    <row r="1107" spans="1:12" x14ac:dyDescent="0.2">
      <c r="A1107" t="s">
        <v>11349</v>
      </c>
      <c r="B1107" t="s">
        <v>11350</v>
      </c>
      <c r="C1107" t="s">
        <v>202</v>
      </c>
      <c r="E1107" t="s">
        <v>6139</v>
      </c>
      <c r="F1107">
        <v>4704</v>
      </c>
      <c r="G1107" t="s">
        <v>221</v>
      </c>
      <c r="H1107" t="s">
        <v>16</v>
      </c>
      <c r="I1107" t="s">
        <v>642</v>
      </c>
      <c r="J1107" t="s">
        <v>643</v>
      </c>
      <c r="K1107" t="s">
        <v>1809</v>
      </c>
      <c r="L1107" t="str">
        <f>HYPERLINK("https://business-monitor.ch/de/companies/1129677-panrep-gmbh?utm_source=oberaargau","PROFIL ANSEHEN")</f>
        <v>PROFIL ANSEHEN</v>
      </c>
    </row>
    <row r="1108" spans="1:12" x14ac:dyDescent="0.2">
      <c r="A1108" t="s">
        <v>3333</v>
      </c>
      <c r="B1108" t="s">
        <v>3334</v>
      </c>
      <c r="C1108" t="s">
        <v>1812</v>
      </c>
      <c r="F1108">
        <v>4936</v>
      </c>
      <c r="G1108" t="s">
        <v>768</v>
      </c>
      <c r="H1108" t="s">
        <v>16</v>
      </c>
      <c r="I1108" t="s">
        <v>1535</v>
      </c>
      <c r="J1108" t="s">
        <v>1536</v>
      </c>
      <c r="K1108" t="s">
        <v>1809</v>
      </c>
      <c r="L1108" t="str">
        <f>HYPERLINK("https://business-monitor.ch/de/companies/224015-wolf-gartenbau?utm_source=oberaargau","PROFIL ANSEHEN")</f>
        <v>PROFIL ANSEHEN</v>
      </c>
    </row>
    <row r="1109" spans="1:12" x14ac:dyDescent="0.2">
      <c r="A1109" t="s">
        <v>5766</v>
      </c>
      <c r="B1109" t="s">
        <v>5767</v>
      </c>
      <c r="C1109" t="s">
        <v>202</v>
      </c>
      <c r="E1109" t="s">
        <v>5768</v>
      </c>
      <c r="F1109">
        <v>4704</v>
      </c>
      <c r="G1109" t="s">
        <v>221</v>
      </c>
      <c r="H1109" t="s">
        <v>16</v>
      </c>
      <c r="I1109" t="s">
        <v>642</v>
      </c>
      <c r="J1109" t="s">
        <v>643</v>
      </c>
      <c r="K1109" t="s">
        <v>1809</v>
      </c>
      <c r="L1109" t="str">
        <f>HYPERLINK("https://business-monitor.ch/de/companies/516429-herzig-werkstatt-gmbh?utm_source=oberaargau","PROFIL ANSEHEN")</f>
        <v>PROFIL ANSEHEN</v>
      </c>
    </row>
    <row r="1110" spans="1:12" x14ac:dyDescent="0.2">
      <c r="A1110" t="s">
        <v>4508</v>
      </c>
      <c r="B1110" t="s">
        <v>12089</v>
      </c>
      <c r="C1110" t="s">
        <v>13</v>
      </c>
      <c r="E1110" t="s">
        <v>4509</v>
      </c>
      <c r="F1110">
        <v>4950</v>
      </c>
      <c r="G1110" t="s">
        <v>15</v>
      </c>
      <c r="H1110" t="s">
        <v>16</v>
      </c>
      <c r="I1110" t="s">
        <v>570</v>
      </c>
      <c r="J1110" t="s">
        <v>571</v>
      </c>
      <c r="K1110" t="s">
        <v>1809</v>
      </c>
      <c r="L1110" t="str">
        <f>HYPERLINK("https://business-monitor.ch/de/companies/694036-solarpunkt-71-ag?utm_source=oberaargau","PROFIL ANSEHEN")</f>
        <v>PROFIL ANSEHEN</v>
      </c>
    </row>
    <row r="1111" spans="1:12" x14ac:dyDescent="0.2">
      <c r="A1111" t="s">
        <v>13623</v>
      </c>
      <c r="B1111" t="s">
        <v>13624</v>
      </c>
      <c r="C1111" t="s">
        <v>202</v>
      </c>
      <c r="E1111" t="s">
        <v>2081</v>
      </c>
      <c r="F1111">
        <v>4950</v>
      </c>
      <c r="G1111" t="s">
        <v>15</v>
      </c>
      <c r="H1111" t="s">
        <v>16</v>
      </c>
      <c r="I1111" t="s">
        <v>565</v>
      </c>
      <c r="J1111" t="s">
        <v>566</v>
      </c>
      <c r="K1111" t="s">
        <v>1809</v>
      </c>
      <c r="L1111" t="str">
        <f>HYPERLINK("https://business-monitor.ch/de/companies/1261272-baeckerei-konditorei-schaer-gmbh?utm_source=oberaargau","PROFIL ANSEHEN")</f>
        <v>PROFIL ANSEHEN</v>
      </c>
    </row>
    <row r="1112" spans="1:12" x14ac:dyDescent="0.2">
      <c r="A1112" t="s">
        <v>3914</v>
      </c>
      <c r="B1112" t="s">
        <v>3915</v>
      </c>
      <c r="C1112" t="s">
        <v>1812</v>
      </c>
      <c r="E1112" t="s">
        <v>3414</v>
      </c>
      <c r="F1112">
        <v>4950</v>
      </c>
      <c r="G1112" t="s">
        <v>15</v>
      </c>
      <c r="H1112" t="s">
        <v>16</v>
      </c>
      <c r="I1112" t="s">
        <v>800</v>
      </c>
      <c r="J1112" t="s">
        <v>801</v>
      </c>
      <c r="K1112" t="s">
        <v>1809</v>
      </c>
      <c r="L1112" t="str">
        <f>HYPERLINK("https://business-monitor.ch/de/companies/932479-creatif-der-bastelladen-sandra-hecht?utm_source=oberaargau","PROFIL ANSEHEN")</f>
        <v>PROFIL ANSEHEN</v>
      </c>
    </row>
    <row r="1113" spans="1:12" x14ac:dyDescent="0.2">
      <c r="A1113" t="s">
        <v>7463</v>
      </c>
      <c r="B1113" t="s">
        <v>7464</v>
      </c>
      <c r="C1113" t="s">
        <v>202</v>
      </c>
      <c r="E1113" t="s">
        <v>7465</v>
      </c>
      <c r="F1113">
        <v>4900</v>
      </c>
      <c r="G1113" t="s">
        <v>41</v>
      </c>
      <c r="H1113" t="s">
        <v>16</v>
      </c>
      <c r="I1113" t="s">
        <v>570</v>
      </c>
      <c r="J1113" t="s">
        <v>571</v>
      </c>
      <c r="K1113" t="s">
        <v>1809</v>
      </c>
      <c r="L1113" t="str">
        <f>HYPERLINK("https://business-monitor.ch/de/companies/932911-wassermann-haustechnik-gmbh?utm_source=oberaargau","PROFIL ANSEHEN")</f>
        <v>PROFIL ANSEHEN</v>
      </c>
    </row>
    <row r="1114" spans="1:12" x14ac:dyDescent="0.2">
      <c r="A1114" t="s">
        <v>12589</v>
      </c>
      <c r="B1114" t="s">
        <v>12590</v>
      </c>
      <c r="C1114" t="s">
        <v>1812</v>
      </c>
      <c r="D1114" t="s">
        <v>12591</v>
      </c>
      <c r="E1114" t="s">
        <v>12592</v>
      </c>
      <c r="F1114">
        <v>3365</v>
      </c>
      <c r="G1114" t="s">
        <v>2390</v>
      </c>
      <c r="H1114" t="s">
        <v>16</v>
      </c>
      <c r="I1114" t="s">
        <v>4940</v>
      </c>
      <c r="J1114" t="s">
        <v>4941</v>
      </c>
      <c r="K1114" t="s">
        <v>1809</v>
      </c>
      <c r="L1114" t="str">
        <f>HYPERLINK("https://business-monitor.ch/de/companies/1205381-ursula-ingold-coaching-klang?utm_source=oberaargau","PROFIL ANSEHEN")</f>
        <v>PROFIL ANSEHEN</v>
      </c>
    </row>
    <row r="1115" spans="1:12" x14ac:dyDescent="0.2">
      <c r="A1115" t="s">
        <v>5943</v>
      </c>
      <c r="B1115" t="s">
        <v>5944</v>
      </c>
      <c r="C1115" t="s">
        <v>13</v>
      </c>
      <c r="E1115" t="s">
        <v>1833</v>
      </c>
      <c r="F1115">
        <v>4912</v>
      </c>
      <c r="G1115" t="s">
        <v>64</v>
      </c>
      <c r="H1115" t="s">
        <v>16</v>
      </c>
      <c r="I1115" t="s">
        <v>298</v>
      </c>
      <c r="J1115" t="s">
        <v>299</v>
      </c>
      <c r="K1115" t="s">
        <v>1809</v>
      </c>
      <c r="L1115" t="str">
        <f>HYPERLINK("https://business-monitor.ch/de/companies/415898-bieler-ag-aarwangen?utm_source=oberaargau","PROFIL ANSEHEN")</f>
        <v>PROFIL ANSEHEN</v>
      </c>
    </row>
    <row r="1116" spans="1:12" x14ac:dyDescent="0.2">
      <c r="A1116" t="s">
        <v>8586</v>
      </c>
      <c r="B1116" t="s">
        <v>8587</v>
      </c>
      <c r="C1116" t="s">
        <v>202</v>
      </c>
      <c r="E1116" t="s">
        <v>1103</v>
      </c>
      <c r="F1116">
        <v>4932</v>
      </c>
      <c r="G1116" t="s">
        <v>325</v>
      </c>
      <c r="H1116" t="s">
        <v>16</v>
      </c>
      <c r="I1116" t="s">
        <v>260</v>
      </c>
      <c r="J1116" t="s">
        <v>261</v>
      </c>
      <c r="K1116" t="s">
        <v>1809</v>
      </c>
      <c r="L1116" t="str">
        <f>HYPERLINK("https://business-monitor.ch/de/companies/478050-medici-architekten-gmbh?utm_source=oberaargau","PROFIL ANSEHEN")</f>
        <v>PROFIL ANSEHEN</v>
      </c>
    </row>
    <row r="1117" spans="1:12" x14ac:dyDescent="0.2">
      <c r="A1117" t="s">
        <v>3866</v>
      </c>
      <c r="B1117" t="s">
        <v>3867</v>
      </c>
      <c r="C1117" t="s">
        <v>1812</v>
      </c>
      <c r="E1117" t="s">
        <v>3868</v>
      </c>
      <c r="F1117">
        <v>4938</v>
      </c>
      <c r="G1117" t="s">
        <v>618</v>
      </c>
      <c r="H1117" t="s">
        <v>16</v>
      </c>
      <c r="I1117" t="s">
        <v>2226</v>
      </c>
      <c r="J1117" t="s">
        <v>2227</v>
      </c>
      <c r="K1117" t="s">
        <v>1809</v>
      </c>
      <c r="L1117" t="str">
        <f>HYPERLINK("https://business-monitor.ch/de/companies/1031629-consult-spiering?utm_source=oberaargau","PROFIL ANSEHEN")</f>
        <v>PROFIL ANSEHEN</v>
      </c>
    </row>
    <row r="1118" spans="1:12" x14ac:dyDescent="0.2">
      <c r="A1118" t="s">
        <v>13184</v>
      </c>
      <c r="B1118" t="s">
        <v>13185</v>
      </c>
      <c r="C1118" t="s">
        <v>202</v>
      </c>
      <c r="D1118" t="s">
        <v>13186</v>
      </c>
      <c r="E1118" t="s">
        <v>13187</v>
      </c>
      <c r="F1118">
        <v>4917</v>
      </c>
      <c r="G1118" t="s">
        <v>376</v>
      </c>
      <c r="H1118" t="s">
        <v>16</v>
      </c>
      <c r="I1118" t="s">
        <v>1053</v>
      </c>
      <c r="J1118" t="s">
        <v>1054</v>
      </c>
      <c r="K1118" t="s">
        <v>1809</v>
      </c>
      <c r="L1118" t="str">
        <f>HYPERLINK("https://business-monitor.ch/de/companies/1233348-licht-design-gmbh?utm_source=oberaargau","PROFIL ANSEHEN")</f>
        <v>PROFIL ANSEHEN</v>
      </c>
    </row>
    <row r="1119" spans="1:12" x14ac:dyDescent="0.2">
      <c r="A1119" t="s">
        <v>8859</v>
      </c>
      <c r="B1119" t="s">
        <v>8860</v>
      </c>
      <c r="C1119" t="s">
        <v>1812</v>
      </c>
      <c r="E1119" t="s">
        <v>8861</v>
      </c>
      <c r="F1119">
        <v>4955</v>
      </c>
      <c r="G1119" t="s">
        <v>684</v>
      </c>
      <c r="H1119" t="s">
        <v>16</v>
      </c>
      <c r="I1119" t="s">
        <v>1409</v>
      </c>
      <c r="J1119" t="s">
        <v>1410</v>
      </c>
      <c r="K1119" t="s">
        <v>1809</v>
      </c>
      <c r="L1119" t="str">
        <f>HYPERLINK("https://business-monitor.ch/de/companies/319126-kaeserei-gondiswil-thomas-thierstein?utm_source=oberaargau","PROFIL ANSEHEN")</f>
        <v>PROFIL ANSEHEN</v>
      </c>
    </row>
    <row r="1120" spans="1:12" x14ac:dyDescent="0.2">
      <c r="A1120" t="s">
        <v>8753</v>
      </c>
      <c r="B1120" t="s">
        <v>8754</v>
      </c>
      <c r="C1120" t="s">
        <v>202</v>
      </c>
      <c r="E1120" t="s">
        <v>8755</v>
      </c>
      <c r="F1120">
        <v>4538</v>
      </c>
      <c r="G1120" t="s">
        <v>71</v>
      </c>
      <c r="H1120" t="s">
        <v>16</v>
      </c>
      <c r="I1120" t="s">
        <v>2249</v>
      </c>
      <c r="J1120" t="s">
        <v>2250</v>
      </c>
      <c r="K1120" t="s">
        <v>1809</v>
      </c>
      <c r="L1120" t="str">
        <f>HYPERLINK("https://business-monitor.ch/de/companies/372116-storotech-gmbh?utm_source=oberaargau","PROFIL ANSEHEN")</f>
        <v>PROFIL ANSEHEN</v>
      </c>
    </row>
    <row r="1121" spans="1:12" x14ac:dyDescent="0.2">
      <c r="A1121" t="s">
        <v>10712</v>
      </c>
      <c r="B1121" t="s">
        <v>10713</v>
      </c>
      <c r="C1121" t="s">
        <v>13</v>
      </c>
      <c r="E1121" t="s">
        <v>1885</v>
      </c>
      <c r="F1121">
        <v>4536</v>
      </c>
      <c r="G1121" t="s">
        <v>1395</v>
      </c>
      <c r="H1121" t="s">
        <v>16</v>
      </c>
      <c r="I1121" t="s">
        <v>464</v>
      </c>
      <c r="J1121" t="s">
        <v>465</v>
      </c>
      <c r="K1121" t="s">
        <v>1809</v>
      </c>
      <c r="L1121" t="str">
        <f>HYPERLINK("https://business-monitor.ch/de/companies/265660-lasttrans-ag?utm_source=oberaargau","PROFIL ANSEHEN")</f>
        <v>PROFIL ANSEHEN</v>
      </c>
    </row>
    <row r="1122" spans="1:12" x14ac:dyDescent="0.2">
      <c r="A1122" t="s">
        <v>6405</v>
      </c>
      <c r="B1122" t="s">
        <v>6406</v>
      </c>
      <c r="C1122" t="s">
        <v>13</v>
      </c>
      <c r="E1122" t="s">
        <v>5803</v>
      </c>
      <c r="F1122">
        <v>3380</v>
      </c>
      <c r="G1122" t="s">
        <v>29</v>
      </c>
      <c r="H1122" t="s">
        <v>16</v>
      </c>
      <c r="I1122" t="s">
        <v>331</v>
      </c>
      <c r="J1122" t="s">
        <v>332</v>
      </c>
      <c r="K1122" t="s">
        <v>1809</v>
      </c>
      <c r="L1122" t="str">
        <f>HYPERLINK("https://business-monitor.ch/de/companies/289490-a-roethlisberger-ag?utm_source=oberaargau","PROFIL ANSEHEN")</f>
        <v>PROFIL ANSEHEN</v>
      </c>
    </row>
    <row r="1123" spans="1:12" x14ac:dyDescent="0.2">
      <c r="A1123" t="s">
        <v>1621</v>
      </c>
      <c r="B1123" t="s">
        <v>1622</v>
      </c>
      <c r="C1123" t="s">
        <v>13</v>
      </c>
      <c r="E1123" t="s">
        <v>947</v>
      </c>
      <c r="F1123">
        <v>4900</v>
      </c>
      <c r="G1123" t="s">
        <v>41</v>
      </c>
      <c r="H1123" t="s">
        <v>16</v>
      </c>
      <c r="I1123" t="s">
        <v>260</v>
      </c>
      <c r="J1123" t="s">
        <v>261</v>
      </c>
      <c r="K1123" t="s">
        <v>1809</v>
      </c>
      <c r="L1123" t="str">
        <f>HYPERLINK("https://business-monitor.ch/de/companies/446520-logdata-ag?utm_source=oberaargau","PROFIL ANSEHEN")</f>
        <v>PROFIL ANSEHEN</v>
      </c>
    </row>
    <row r="1124" spans="1:12" x14ac:dyDescent="0.2">
      <c r="A1124" t="s">
        <v>3074</v>
      </c>
      <c r="B1124" t="s">
        <v>3075</v>
      </c>
      <c r="C1124" t="s">
        <v>202</v>
      </c>
      <c r="D1124" t="s">
        <v>3076</v>
      </c>
      <c r="E1124" t="s">
        <v>3077</v>
      </c>
      <c r="F1124">
        <v>4900</v>
      </c>
      <c r="G1124" t="s">
        <v>41</v>
      </c>
      <c r="H1124" t="s">
        <v>16</v>
      </c>
      <c r="I1124" t="s">
        <v>1324</v>
      </c>
      <c r="J1124" t="s">
        <v>1325</v>
      </c>
      <c r="K1124" t="s">
        <v>1809</v>
      </c>
      <c r="L1124" t="str">
        <f>HYPERLINK("https://business-monitor.ch/de/companies/335168-schneider-allrounder-gmbh?utm_source=oberaargau","PROFIL ANSEHEN")</f>
        <v>PROFIL ANSEHEN</v>
      </c>
    </row>
    <row r="1125" spans="1:12" x14ac:dyDescent="0.2">
      <c r="A1125" t="s">
        <v>2404</v>
      </c>
      <c r="B1125" t="s">
        <v>2405</v>
      </c>
      <c r="C1125" t="s">
        <v>202</v>
      </c>
      <c r="E1125" t="s">
        <v>2406</v>
      </c>
      <c r="F1125">
        <v>4900</v>
      </c>
      <c r="G1125" t="s">
        <v>41</v>
      </c>
      <c r="H1125" t="s">
        <v>16</v>
      </c>
      <c r="I1125" t="s">
        <v>298</v>
      </c>
      <c r="J1125" t="s">
        <v>299</v>
      </c>
      <c r="K1125" t="s">
        <v>1809</v>
      </c>
      <c r="L1125" t="str">
        <f>HYPERLINK("https://business-monitor.ch/de/companies/24101-bleue-cote-gmbh?utm_source=oberaargau","PROFIL ANSEHEN")</f>
        <v>PROFIL ANSEHEN</v>
      </c>
    </row>
    <row r="1126" spans="1:12" x14ac:dyDescent="0.2">
      <c r="A1126" t="s">
        <v>13563</v>
      </c>
      <c r="B1126" t="s">
        <v>13564</v>
      </c>
      <c r="C1126" t="s">
        <v>13</v>
      </c>
      <c r="E1126" t="s">
        <v>13565</v>
      </c>
      <c r="F1126">
        <v>4914</v>
      </c>
      <c r="G1126" t="s">
        <v>105</v>
      </c>
      <c r="H1126" t="s">
        <v>16</v>
      </c>
      <c r="I1126" t="s">
        <v>77</v>
      </c>
      <c r="J1126" t="s">
        <v>78</v>
      </c>
      <c r="K1126" t="s">
        <v>1809</v>
      </c>
      <c r="L1126" t="str">
        <f>HYPERLINK("https://business-monitor.ch/de/companies/1257445-ar-generalbau-ag?utm_source=oberaargau","PROFIL ANSEHEN")</f>
        <v>PROFIL ANSEHEN</v>
      </c>
    </row>
    <row r="1127" spans="1:12" x14ac:dyDescent="0.2">
      <c r="A1127" t="s">
        <v>6860</v>
      </c>
      <c r="B1127" t="s">
        <v>6861</v>
      </c>
      <c r="C1127" t="s">
        <v>202</v>
      </c>
      <c r="E1127" t="s">
        <v>6862</v>
      </c>
      <c r="F1127">
        <v>4932</v>
      </c>
      <c r="G1127" t="s">
        <v>325</v>
      </c>
      <c r="H1127" t="s">
        <v>16</v>
      </c>
      <c r="I1127" t="s">
        <v>1852</v>
      </c>
      <c r="J1127" t="s">
        <v>1853</v>
      </c>
      <c r="K1127" t="s">
        <v>1809</v>
      </c>
      <c r="L1127" t="str">
        <f>HYPERLINK("https://business-monitor.ch/de/companies/47390-walter-nyffeler-gmbh?utm_source=oberaargau","PROFIL ANSEHEN")</f>
        <v>PROFIL ANSEHEN</v>
      </c>
    </row>
    <row r="1128" spans="1:12" x14ac:dyDescent="0.2">
      <c r="A1128" t="s">
        <v>9551</v>
      </c>
      <c r="B1128" t="s">
        <v>9552</v>
      </c>
      <c r="C1128" t="s">
        <v>1812</v>
      </c>
      <c r="E1128" t="s">
        <v>9553</v>
      </c>
      <c r="F1128">
        <v>4914</v>
      </c>
      <c r="G1128" t="s">
        <v>105</v>
      </c>
      <c r="H1128" t="s">
        <v>16</v>
      </c>
      <c r="I1128" t="s">
        <v>1535</v>
      </c>
      <c r="J1128" t="s">
        <v>1536</v>
      </c>
      <c r="K1128" t="s">
        <v>1809</v>
      </c>
      <c r="L1128" t="str">
        <f>HYPERLINK("https://business-monitor.ch/de/companies/677480-haller-gartenunterhalt?utm_source=oberaargau","PROFIL ANSEHEN")</f>
        <v>PROFIL ANSEHEN</v>
      </c>
    </row>
    <row r="1129" spans="1:12" x14ac:dyDescent="0.2">
      <c r="A1129" t="s">
        <v>11244</v>
      </c>
      <c r="B1129" t="s">
        <v>11245</v>
      </c>
      <c r="C1129" t="s">
        <v>1812</v>
      </c>
      <c r="E1129" t="s">
        <v>11246</v>
      </c>
      <c r="F1129">
        <v>4912</v>
      </c>
      <c r="G1129" t="s">
        <v>64</v>
      </c>
      <c r="H1129" t="s">
        <v>16</v>
      </c>
      <c r="I1129" t="s">
        <v>24</v>
      </c>
      <c r="J1129" t="s">
        <v>25</v>
      </c>
      <c r="K1129" t="s">
        <v>1809</v>
      </c>
      <c r="L1129" t="str">
        <f>HYPERLINK("https://business-monitor.ch/de/companies/1128829-nazmi-shillova?utm_source=oberaargau","PROFIL ANSEHEN")</f>
        <v>PROFIL ANSEHEN</v>
      </c>
    </row>
    <row r="1130" spans="1:12" x14ac:dyDescent="0.2">
      <c r="A1130" t="s">
        <v>5837</v>
      </c>
      <c r="B1130" t="s">
        <v>12649</v>
      </c>
      <c r="C1130" t="s">
        <v>1812</v>
      </c>
      <c r="E1130" t="s">
        <v>4939</v>
      </c>
      <c r="F1130">
        <v>4900</v>
      </c>
      <c r="G1130" t="s">
        <v>41</v>
      </c>
      <c r="H1130" t="s">
        <v>16</v>
      </c>
      <c r="I1130" t="s">
        <v>2275</v>
      </c>
      <c r="J1130" t="s">
        <v>2276</v>
      </c>
      <c r="K1130" t="s">
        <v>1809</v>
      </c>
      <c r="L1130" t="str">
        <f>HYPERLINK("https://business-monitor.ch/de/companies/41467-noxwell-imperiale?utm_source=oberaargau","PROFIL ANSEHEN")</f>
        <v>PROFIL ANSEHEN</v>
      </c>
    </row>
    <row r="1131" spans="1:12" x14ac:dyDescent="0.2">
      <c r="A1131" t="s">
        <v>13954</v>
      </c>
      <c r="B1131" t="s">
        <v>13955</v>
      </c>
      <c r="C1131" t="s">
        <v>202</v>
      </c>
      <c r="E1131" t="s">
        <v>13956</v>
      </c>
      <c r="F1131">
        <v>3380</v>
      </c>
      <c r="G1131" t="s">
        <v>29</v>
      </c>
      <c r="H1131" t="s">
        <v>16</v>
      </c>
      <c r="I1131" t="s">
        <v>1835</v>
      </c>
      <c r="J1131" t="s">
        <v>1836</v>
      </c>
      <c r="K1131" t="s">
        <v>1809</v>
      </c>
      <c r="L1131" t="str">
        <f>HYPERLINK("https://business-monitor.ch/de/companies/1271519-tip-top-reinigung-celem-gmbh?utm_source=oberaargau","PROFIL ANSEHEN")</f>
        <v>PROFIL ANSEHEN</v>
      </c>
    </row>
    <row r="1132" spans="1:12" x14ac:dyDescent="0.2">
      <c r="A1132" t="s">
        <v>8051</v>
      </c>
      <c r="B1132" t="s">
        <v>8052</v>
      </c>
      <c r="C1132" t="s">
        <v>1812</v>
      </c>
      <c r="E1132" t="s">
        <v>7758</v>
      </c>
      <c r="F1132">
        <v>4900</v>
      </c>
      <c r="G1132" t="s">
        <v>41</v>
      </c>
      <c r="H1132" t="s">
        <v>16</v>
      </c>
      <c r="I1132" t="s">
        <v>2231</v>
      </c>
      <c r="J1132" t="s">
        <v>2232</v>
      </c>
      <c r="K1132" t="s">
        <v>1809</v>
      </c>
      <c r="L1132" t="str">
        <f>HYPERLINK("https://business-monitor.ch/de/companies/475454-malerei-jan-geissbuehler?utm_source=oberaargau","PROFIL ANSEHEN")</f>
        <v>PROFIL ANSEHEN</v>
      </c>
    </row>
    <row r="1133" spans="1:12" x14ac:dyDescent="0.2">
      <c r="A1133" t="s">
        <v>14418</v>
      </c>
      <c r="B1133" t="s">
        <v>14419</v>
      </c>
      <c r="C1133" t="s">
        <v>202</v>
      </c>
      <c r="E1133" t="s">
        <v>6125</v>
      </c>
      <c r="F1133">
        <v>4704</v>
      </c>
      <c r="G1133" t="s">
        <v>221</v>
      </c>
      <c r="H1133" t="s">
        <v>16</v>
      </c>
      <c r="I1133" t="s">
        <v>4039</v>
      </c>
      <c r="J1133" t="s">
        <v>4040</v>
      </c>
      <c r="K1133" t="s">
        <v>1809</v>
      </c>
      <c r="L1133" t="str">
        <f>HYPERLINK("https://business-monitor.ch/de/companies/1298093-aurafitness-mg-gmbh?utm_source=oberaargau","PROFIL ANSEHEN")</f>
        <v>PROFIL ANSEHEN</v>
      </c>
    </row>
    <row r="1134" spans="1:12" x14ac:dyDescent="0.2">
      <c r="A1134" t="s">
        <v>14242</v>
      </c>
      <c r="B1134" t="s">
        <v>14243</v>
      </c>
      <c r="C1134" t="s">
        <v>2258</v>
      </c>
      <c r="D1134" t="s">
        <v>14244</v>
      </c>
      <c r="E1134" t="s">
        <v>14245</v>
      </c>
      <c r="F1134">
        <v>4536</v>
      </c>
      <c r="G1134" t="s">
        <v>1395</v>
      </c>
      <c r="H1134" t="s">
        <v>16</v>
      </c>
      <c r="I1134" t="s">
        <v>640</v>
      </c>
      <c r="J1134" t="s">
        <v>641</v>
      </c>
      <c r="K1134" t="s">
        <v>1809</v>
      </c>
      <c r="L1134" t="str">
        <f>HYPERLINK("https://business-monitor.ch/de/companies/1295917-respocean?utm_source=oberaargau","PROFIL ANSEHEN")</f>
        <v>PROFIL ANSEHEN</v>
      </c>
    </row>
    <row r="1135" spans="1:12" x14ac:dyDescent="0.2">
      <c r="A1135" t="s">
        <v>6852</v>
      </c>
      <c r="B1135" t="s">
        <v>6853</v>
      </c>
      <c r="C1135" t="s">
        <v>202</v>
      </c>
      <c r="D1135" t="s">
        <v>6854</v>
      </c>
      <c r="E1135" t="s">
        <v>9410</v>
      </c>
      <c r="F1135">
        <v>4950</v>
      </c>
      <c r="G1135" t="s">
        <v>15</v>
      </c>
      <c r="H1135" t="s">
        <v>16</v>
      </c>
      <c r="I1135" t="s">
        <v>100</v>
      </c>
      <c r="J1135" t="s">
        <v>101</v>
      </c>
      <c r="K1135" t="s">
        <v>1809</v>
      </c>
      <c r="L1135" t="str">
        <f>HYPERLINK("https://business-monitor.ch/de/companies/54876-inertstoffdeponie-tannenbad-gmbh?utm_source=oberaargau","PROFIL ANSEHEN")</f>
        <v>PROFIL ANSEHEN</v>
      </c>
    </row>
    <row r="1136" spans="1:12" x14ac:dyDescent="0.2">
      <c r="A1136" t="s">
        <v>2071</v>
      </c>
      <c r="B1136" t="s">
        <v>2072</v>
      </c>
      <c r="C1136" t="s">
        <v>1812</v>
      </c>
      <c r="E1136" t="s">
        <v>2073</v>
      </c>
      <c r="F1136">
        <v>3360</v>
      </c>
      <c r="G1136" t="s">
        <v>35</v>
      </c>
      <c r="H1136" t="s">
        <v>16</v>
      </c>
      <c r="I1136" t="s">
        <v>464</v>
      </c>
      <c r="J1136" t="s">
        <v>465</v>
      </c>
      <c r="K1136" t="s">
        <v>1809</v>
      </c>
      <c r="L1136" t="str">
        <f>HYPERLINK("https://business-monitor.ch/de/companies/155173-erwin-heer?utm_source=oberaargau","PROFIL ANSEHEN")</f>
        <v>PROFIL ANSEHEN</v>
      </c>
    </row>
    <row r="1137" spans="1:12" x14ac:dyDescent="0.2">
      <c r="A1137" t="s">
        <v>3103</v>
      </c>
      <c r="B1137" t="s">
        <v>3104</v>
      </c>
      <c r="C1137" t="s">
        <v>1812</v>
      </c>
      <c r="E1137" t="s">
        <v>3105</v>
      </c>
      <c r="F1137">
        <v>4704</v>
      </c>
      <c r="G1137" t="s">
        <v>221</v>
      </c>
      <c r="H1137" t="s">
        <v>16</v>
      </c>
      <c r="I1137" t="s">
        <v>1485</v>
      </c>
      <c r="J1137" t="s">
        <v>1486</v>
      </c>
      <c r="K1137" t="s">
        <v>1809</v>
      </c>
      <c r="L1137" t="str">
        <f>HYPERLINK("https://business-monitor.ch/de/companies/325293-la-perla-rosangela-lagona?utm_source=oberaargau","PROFIL ANSEHEN")</f>
        <v>PROFIL ANSEHEN</v>
      </c>
    </row>
    <row r="1138" spans="1:12" x14ac:dyDescent="0.2">
      <c r="A1138" t="s">
        <v>14420</v>
      </c>
      <c r="B1138" t="s">
        <v>14421</v>
      </c>
      <c r="C1138" t="s">
        <v>202</v>
      </c>
      <c r="E1138" t="s">
        <v>12407</v>
      </c>
      <c r="F1138">
        <v>4538</v>
      </c>
      <c r="G1138" t="s">
        <v>71</v>
      </c>
      <c r="H1138" t="s">
        <v>16</v>
      </c>
      <c r="I1138" t="s">
        <v>59</v>
      </c>
      <c r="J1138" t="s">
        <v>60</v>
      </c>
      <c r="K1138" t="s">
        <v>1809</v>
      </c>
      <c r="L1138" t="str">
        <f>HYPERLINK("https://business-monitor.ch/de/companies/1302013-baerenstark-1848-gmbh?utm_source=oberaargau","PROFIL ANSEHEN")</f>
        <v>PROFIL ANSEHEN</v>
      </c>
    </row>
    <row r="1139" spans="1:12" x14ac:dyDescent="0.2">
      <c r="A1139" t="s">
        <v>8529</v>
      </c>
      <c r="B1139" t="s">
        <v>8530</v>
      </c>
      <c r="C1139" t="s">
        <v>202</v>
      </c>
      <c r="E1139" t="s">
        <v>8531</v>
      </c>
      <c r="F1139">
        <v>4938</v>
      </c>
      <c r="G1139" t="s">
        <v>618</v>
      </c>
      <c r="H1139" t="s">
        <v>16</v>
      </c>
      <c r="I1139" t="s">
        <v>679</v>
      </c>
      <c r="J1139" t="s">
        <v>680</v>
      </c>
      <c r="K1139" t="s">
        <v>1809</v>
      </c>
      <c r="L1139" t="str">
        <f>HYPERLINK("https://business-monitor.ch/de/companies/1059698-wohnart-ingold-gmbh?utm_source=oberaargau","PROFIL ANSEHEN")</f>
        <v>PROFIL ANSEHEN</v>
      </c>
    </row>
    <row r="1140" spans="1:12" x14ac:dyDescent="0.2">
      <c r="A1140" t="s">
        <v>12090</v>
      </c>
      <c r="B1140" t="s">
        <v>12091</v>
      </c>
      <c r="C1140" t="s">
        <v>202</v>
      </c>
      <c r="E1140" t="s">
        <v>14147</v>
      </c>
      <c r="F1140">
        <v>4952</v>
      </c>
      <c r="G1140" t="s">
        <v>474</v>
      </c>
      <c r="H1140" t="s">
        <v>16</v>
      </c>
      <c r="I1140" t="s">
        <v>4940</v>
      </c>
      <c r="J1140" t="s">
        <v>4941</v>
      </c>
      <c r="K1140" t="s">
        <v>1809</v>
      </c>
      <c r="L1140" t="str">
        <f>HYPERLINK("https://business-monitor.ch/de/companies/1142168-nancy-krueger-gmbh?utm_source=oberaargau","PROFIL ANSEHEN")</f>
        <v>PROFIL ANSEHEN</v>
      </c>
    </row>
    <row r="1141" spans="1:12" x14ac:dyDescent="0.2">
      <c r="A1141" t="s">
        <v>7407</v>
      </c>
      <c r="B1141" t="s">
        <v>7408</v>
      </c>
      <c r="C1141" t="s">
        <v>202</v>
      </c>
      <c r="E1141" t="s">
        <v>7409</v>
      </c>
      <c r="F1141">
        <v>4912</v>
      </c>
      <c r="G1141" t="s">
        <v>64</v>
      </c>
      <c r="H1141" t="s">
        <v>16</v>
      </c>
      <c r="I1141" t="s">
        <v>1296</v>
      </c>
      <c r="J1141" t="s">
        <v>1297</v>
      </c>
      <c r="K1141" t="s">
        <v>1809</v>
      </c>
      <c r="L1141" t="str">
        <f>HYPERLINK("https://business-monitor.ch/de/companies/959414-riederer-gestaltet-gmbh?utm_source=oberaargau","PROFIL ANSEHEN")</f>
        <v>PROFIL ANSEHEN</v>
      </c>
    </row>
    <row r="1142" spans="1:12" x14ac:dyDescent="0.2">
      <c r="A1142" t="s">
        <v>2502</v>
      </c>
      <c r="B1142" t="s">
        <v>2503</v>
      </c>
      <c r="C1142" t="s">
        <v>202</v>
      </c>
      <c r="E1142" t="s">
        <v>2504</v>
      </c>
      <c r="F1142">
        <v>4914</v>
      </c>
      <c r="G1142" t="s">
        <v>105</v>
      </c>
      <c r="H1142" t="s">
        <v>16</v>
      </c>
      <c r="I1142" t="s">
        <v>2505</v>
      </c>
      <c r="J1142" t="s">
        <v>2506</v>
      </c>
      <c r="K1142" t="s">
        <v>1809</v>
      </c>
      <c r="L1142" t="str">
        <f>HYPERLINK("https://business-monitor.ch/de/companies/953898-brunnbachkresse-gmbh?utm_source=oberaargau","PROFIL ANSEHEN")</f>
        <v>PROFIL ANSEHEN</v>
      </c>
    </row>
    <row r="1143" spans="1:12" x14ac:dyDescent="0.2">
      <c r="A1143" t="s">
        <v>4364</v>
      </c>
      <c r="B1143" t="s">
        <v>4365</v>
      </c>
      <c r="C1143" t="s">
        <v>202</v>
      </c>
      <c r="E1143" t="s">
        <v>849</v>
      </c>
      <c r="F1143">
        <v>4900</v>
      </c>
      <c r="G1143" t="s">
        <v>41</v>
      </c>
      <c r="H1143" t="s">
        <v>16</v>
      </c>
      <c r="I1143" t="s">
        <v>2932</v>
      </c>
      <c r="J1143" t="s">
        <v>2933</v>
      </c>
      <c r="K1143" t="s">
        <v>1809</v>
      </c>
      <c r="L1143" t="str">
        <f>HYPERLINK("https://business-monitor.ch/de/companies/954352-rr-haus-tech-gmbh?utm_source=oberaargau","PROFIL ANSEHEN")</f>
        <v>PROFIL ANSEHEN</v>
      </c>
    </row>
    <row r="1144" spans="1:12" x14ac:dyDescent="0.2">
      <c r="A1144" t="s">
        <v>13092</v>
      </c>
      <c r="B1144" t="s">
        <v>13093</v>
      </c>
      <c r="C1144" t="s">
        <v>13</v>
      </c>
      <c r="E1144" t="s">
        <v>13094</v>
      </c>
      <c r="F1144">
        <v>4938</v>
      </c>
      <c r="G1144" t="s">
        <v>618</v>
      </c>
      <c r="H1144" t="s">
        <v>16</v>
      </c>
      <c r="I1144" t="s">
        <v>935</v>
      </c>
      <c r="J1144" t="s">
        <v>936</v>
      </c>
      <c r="K1144" t="s">
        <v>1809</v>
      </c>
      <c r="L1144" t="str">
        <f>HYPERLINK("https://business-monitor.ch/de/companies/1241262-innovation-immo-ag?utm_source=oberaargau","PROFIL ANSEHEN")</f>
        <v>PROFIL ANSEHEN</v>
      </c>
    </row>
    <row r="1145" spans="1:12" x14ac:dyDescent="0.2">
      <c r="A1145" t="s">
        <v>10381</v>
      </c>
      <c r="B1145" t="s">
        <v>10382</v>
      </c>
      <c r="C1145" t="s">
        <v>1812</v>
      </c>
      <c r="E1145" t="s">
        <v>10383</v>
      </c>
      <c r="F1145">
        <v>4900</v>
      </c>
      <c r="G1145" t="s">
        <v>41</v>
      </c>
      <c r="H1145" t="s">
        <v>16</v>
      </c>
      <c r="I1145" t="s">
        <v>24</v>
      </c>
      <c r="J1145" t="s">
        <v>25</v>
      </c>
      <c r="K1145" t="s">
        <v>1809</v>
      </c>
      <c r="L1145" t="str">
        <f>HYPERLINK("https://business-monitor.ch/de/companies/214912-age-develop-and-communication-engineering-gloor?utm_source=oberaargau","PROFIL ANSEHEN")</f>
        <v>PROFIL ANSEHEN</v>
      </c>
    </row>
    <row r="1146" spans="1:12" x14ac:dyDescent="0.2">
      <c r="A1146" t="s">
        <v>9896</v>
      </c>
      <c r="B1146" t="s">
        <v>9897</v>
      </c>
      <c r="C1146" t="s">
        <v>13</v>
      </c>
      <c r="E1146" t="s">
        <v>823</v>
      </c>
      <c r="F1146">
        <v>4900</v>
      </c>
      <c r="G1146" t="s">
        <v>41</v>
      </c>
      <c r="H1146" t="s">
        <v>16</v>
      </c>
      <c r="I1146" t="s">
        <v>4247</v>
      </c>
      <c r="J1146" t="s">
        <v>4248</v>
      </c>
      <c r="K1146" t="s">
        <v>1809</v>
      </c>
      <c r="L1146" t="str">
        <f>HYPERLINK("https://business-monitor.ch/de/companies/968115-rueckenzentrum-oberaargau-ag?utm_source=oberaargau","PROFIL ANSEHEN")</f>
        <v>PROFIL ANSEHEN</v>
      </c>
    </row>
    <row r="1147" spans="1:12" x14ac:dyDescent="0.2">
      <c r="A1147" t="s">
        <v>3777</v>
      </c>
      <c r="B1147" t="s">
        <v>3778</v>
      </c>
      <c r="C1147" t="s">
        <v>1812</v>
      </c>
      <c r="E1147" t="s">
        <v>2066</v>
      </c>
      <c r="F1147">
        <v>4900</v>
      </c>
      <c r="G1147" t="s">
        <v>41</v>
      </c>
      <c r="H1147" t="s">
        <v>16</v>
      </c>
      <c r="I1147" t="s">
        <v>1860</v>
      </c>
      <c r="J1147" t="s">
        <v>1861</v>
      </c>
      <c r="K1147" t="s">
        <v>1809</v>
      </c>
      <c r="L1147" t="str">
        <f>HYPERLINK("https://business-monitor.ch/de/companies/609101-la-perla-c-mennonna?utm_source=oberaargau","PROFIL ANSEHEN")</f>
        <v>PROFIL ANSEHEN</v>
      </c>
    </row>
    <row r="1148" spans="1:12" x14ac:dyDescent="0.2">
      <c r="A1148" t="s">
        <v>6278</v>
      </c>
      <c r="B1148" t="s">
        <v>6279</v>
      </c>
      <c r="C1148" t="s">
        <v>202</v>
      </c>
      <c r="E1148" t="s">
        <v>6280</v>
      </c>
      <c r="F1148">
        <v>3376</v>
      </c>
      <c r="G1148" t="s">
        <v>2012</v>
      </c>
      <c r="H1148" t="s">
        <v>16</v>
      </c>
      <c r="I1148" t="s">
        <v>6281</v>
      </c>
      <c r="J1148" t="s">
        <v>6282</v>
      </c>
      <c r="K1148" t="s">
        <v>1809</v>
      </c>
      <c r="L1148" t="str">
        <f>HYPERLINK("https://business-monitor.ch/de/companies/341970-frifo-gmbh?utm_source=oberaargau","PROFIL ANSEHEN")</f>
        <v>PROFIL ANSEHEN</v>
      </c>
    </row>
    <row r="1149" spans="1:12" x14ac:dyDescent="0.2">
      <c r="A1149" t="s">
        <v>6848</v>
      </c>
      <c r="B1149" t="s">
        <v>6849</v>
      </c>
      <c r="C1149" t="s">
        <v>1812</v>
      </c>
      <c r="E1149" t="s">
        <v>4753</v>
      </c>
      <c r="F1149">
        <v>3360</v>
      </c>
      <c r="G1149" t="s">
        <v>35</v>
      </c>
      <c r="H1149" t="s">
        <v>16</v>
      </c>
      <c r="I1149" t="s">
        <v>4641</v>
      </c>
      <c r="J1149" t="s">
        <v>4642</v>
      </c>
      <c r="K1149" t="s">
        <v>1809</v>
      </c>
      <c r="L1149" t="str">
        <f>HYPERLINK("https://business-monitor.ch/de/companies/57197-eugen-j-engeler-race-car-events?utm_source=oberaargau","PROFIL ANSEHEN")</f>
        <v>PROFIL ANSEHEN</v>
      </c>
    </row>
    <row r="1150" spans="1:12" x14ac:dyDescent="0.2">
      <c r="A1150" t="s">
        <v>8005</v>
      </c>
      <c r="B1150" t="s">
        <v>8006</v>
      </c>
      <c r="C1150" t="s">
        <v>202</v>
      </c>
      <c r="E1150" t="s">
        <v>8007</v>
      </c>
      <c r="F1150">
        <v>3360</v>
      </c>
      <c r="G1150" t="s">
        <v>35</v>
      </c>
      <c r="H1150" t="s">
        <v>16</v>
      </c>
      <c r="I1150" t="s">
        <v>232</v>
      </c>
      <c r="J1150" t="s">
        <v>233</v>
      </c>
      <c r="K1150" t="s">
        <v>1809</v>
      </c>
      <c r="L1150" t="str">
        <f>HYPERLINK("https://business-monitor.ch/de/companies/61463-andreas-schaerer-treuhand-gmbh?utm_source=oberaargau","PROFIL ANSEHEN")</f>
        <v>PROFIL ANSEHEN</v>
      </c>
    </row>
    <row r="1151" spans="1:12" x14ac:dyDescent="0.2">
      <c r="A1151" t="s">
        <v>3295</v>
      </c>
      <c r="B1151" t="s">
        <v>3296</v>
      </c>
      <c r="C1151" t="s">
        <v>13</v>
      </c>
      <c r="E1151" t="s">
        <v>3297</v>
      </c>
      <c r="F1151">
        <v>4923</v>
      </c>
      <c r="G1151" t="s">
        <v>732</v>
      </c>
      <c r="H1151" t="s">
        <v>16</v>
      </c>
      <c r="I1151" t="s">
        <v>642</v>
      </c>
      <c r="J1151" t="s">
        <v>643</v>
      </c>
      <c r="K1151" t="s">
        <v>1809</v>
      </c>
      <c r="L1151" t="str">
        <f>HYPERLINK("https://business-monitor.ch/de/companies/243973-garage-greub-ag?utm_source=oberaargau","PROFIL ANSEHEN")</f>
        <v>PROFIL ANSEHEN</v>
      </c>
    </row>
    <row r="1152" spans="1:12" x14ac:dyDescent="0.2">
      <c r="A1152" t="s">
        <v>7993</v>
      </c>
      <c r="B1152" t="s">
        <v>7994</v>
      </c>
      <c r="C1152" t="s">
        <v>1812</v>
      </c>
      <c r="E1152" t="s">
        <v>3768</v>
      </c>
      <c r="F1152">
        <v>4536</v>
      </c>
      <c r="G1152" t="s">
        <v>1395</v>
      </c>
      <c r="H1152" t="s">
        <v>16</v>
      </c>
      <c r="I1152" t="s">
        <v>3361</v>
      </c>
      <c r="J1152" t="s">
        <v>3362</v>
      </c>
      <c r="K1152" t="s">
        <v>1809</v>
      </c>
      <c r="L1152" t="str">
        <f>HYPERLINK("https://business-monitor.ch/de/companies/462949-landschaftsar-ch-oliver-straumann?utm_source=oberaargau","PROFIL ANSEHEN")</f>
        <v>PROFIL ANSEHEN</v>
      </c>
    </row>
    <row r="1153" spans="1:12" x14ac:dyDescent="0.2">
      <c r="A1153" t="s">
        <v>13396</v>
      </c>
      <c r="B1153" t="s">
        <v>13397</v>
      </c>
      <c r="C1153" t="s">
        <v>1812</v>
      </c>
      <c r="E1153" t="s">
        <v>12881</v>
      </c>
      <c r="F1153">
        <v>3373</v>
      </c>
      <c r="G1153" t="s">
        <v>2697</v>
      </c>
      <c r="H1153" t="s">
        <v>16</v>
      </c>
      <c r="I1153" t="s">
        <v>570</v>
      </c>
      <c r="J1153" t="s">
        <v>571</v>
      </c>
      <c r="K1153" t="s">
        <v>1809</v>
      </c>
      <c r="L1153" t="str">
        <f>HYPERLINK("https://business-monitor.ch/de/companies/1243680-nord-tech-florin-moldovan-schmocker?utm_source=oberaargau","PROFIL ANSEHEN")</f>
        <v>PROFIL ANSEHEN</v>
      </c>
    </row>
    <row r="1154" spans="1:12" x14ac:dyDescent="0.2">
      <c r="A1154" t="s">
        <v>4460</v>
      </c>
      <c r="B1154" t="s">
        <v>4461</v>
      </c>
      <c r="C1154" t="s">
        <v>13</v>
      </c>
      <c r="D1154" t="s">
        <v>2911</v>
      </c>
      <c r="E1154" t="s">
        <v>617</v>
      </c>
      <c r="F1154">
        <v>4938</v>
      </c>
      <c r="G1154" t="s">
        <v>618</v>
      </c>
      <c r="H1154" t="s">
        <v>16</v>
      </c>
      <c r="I1154" t="s">
        <v>72</v>
      </c>
      <c r="J1154" t="s">
        <v>73</v>
      </c>
      <c r="K1154" t="s">
        <v>1809</v>
      </c>
      <c r="L1154" t="str">
        <f>HYPERLINK("https://business-monitor.ch/de/companies/722950-lanz-anliker-holding-ag?utm_source=oberaargau","PROFIL ANSEHEN")</f>
        <v>PROFIL ANSEHEN</v>
      </c>
    </row>
    <row r="1155" spans="1:12" x14ac:dyDescent="0.2">
      <c r="A1155" t="s">
        <v>10562</v>
      </c>
      <c r="B1155" t="s">
        <v>10563</v>
      </c>
      <c r="C1155" t="s">
        <v>1812</v>
      </c>
      <c r="E1155" t="s">
        <v>5771</v>
      </c>
      <c r="F1155">
        <v>4914</v>
      </c>
      <c r="G1155" t="s">
        <v>105</v>
      </c>
      <c r="H1155" t="s">
        <v>16</v>
      </c>
      <c r="I1155" t="s">
        <v>781</v>
      </c>
      <c r="J1155" t="s">
        <v>782</v>
      </c>
      <c r="K1155" t="s">
        <v>1809</v>
      </c>
      <c r="L1155" t="str">
        <f>HYPERLINK("https://business-monitor.ch/de/companies/202046-stucki-daniel?utm_source=oberaargau","PROFIL ANSEHEN")</f>
        <v>PROFIL ANSEHEN</v>
      </c>
    </row>
    <row r="1156" spans="1:12" x14ac:dyDescent="0.2">
      <c r="A1156" t="s">
        <v>4305</v>
      </c>
      <c r="B1156" t="s">
        <v>4306</v>
      </c>
      <c r="C1156" t="s">
        <v>1812</v>
      </c>
      <c r="E1156" t="s">
        <v>4307</v>
      </c>
      <c r="F1156">
        <v>4900</v>
      </c>
      <c r="G1156" t="s">
        <v>41</v>
      </c>
      <c r="H1156" t="s">
        <v>16</v>
      </c>
      <c r="I1156" t="s">
        <v>4308</v>
      </c>
      <c r="J1156" t="s">
        <v>4309</v>
      </c>
      <c r="K1156" t="s">
        <v>1809</v>
      </c>
      <c r="L1156" t="str">
        <f>HYPERLINK("https://business-monitor.ch/de/companies/973150-morgenthaler-kaffeemaschinen?utm_source=oberaargau","PROFIL ANSEHEN")</f>
        <v>PROFIL ANSEHEN</v>
      </c>
    </row>
    <row r="1157" spans="1:12" x14ac:dyDescent="0.2">
      <c r="A1157" t="s">
        <v>14330</v>
      </c>
      <c r="B1157" t="s">
        <v>14331</v>
      </c>
      <c r="C1157" t="s">
        <v>1812</v>
      </c>
      <c r="E1157" t="s">
        <v>14332</v>
      </c>
      <c r="F1157">
        <v>4536</v>
      </c>
      <c r="G1157" t="s">
        <v>1395</v>
      </c>
      <c r="H1157" t="s">
        <v>16</v>
      </c>
      <c r="I1157" t="s">
        <v>3775</v>
      </c>
      <c r="J1157" t="s">
        <v>3776</v>
      </c>
      <c r="K1157" t="s">
        <v>1809</v>
      </c>
      <c r="L1157" t="str">
        <f>HYPERLINK("https://business-monitor.ch/de/companies/1289829-to-campaign?utm_source=oberaargau","PROFIL ANSEHEN")</f>
        <v>PROFIL ANSEHEN</v>
      </c>
    </row>
    <row r="1158" spans="1:12" x14ac:dyDescent="0.2">
      <c r="A1158" t="s">
        <v>5717</v>
      </c>
      <c r="B1158" t="s">
        <v>5718</v>
      </c>
      <c r="C1158" t="s">
        <v>13</v>
      </c>
      <c r="E1158" t="s">
        <v>5719</v>
      </c>
      <c r="F1158">
        <v>3360</v>
      </c>
      <c r="G1158" t="s">
        <v>35</v>
      </c>
      <c r="H1158" t="s">
        <v>16</v>
      </c>
      <c r="I1158" t="s">
        <v>935</v>
      </c>
      <c r="J1158" t="s">
        <v>936</v>
      </c>
      <c r="K1158" t="s">
        <v>1809</v>
      </c>
      <c r="L1158" t="str">
        <f>HYPERLINK("https://business-monitor.ch/de/companies/77246-schaad-wohnbau-ag?utm_source=oberaargau","PROFIL ANSEHEN")</f>
        <v>PROFIL ANSEHEN</v>
      </c>
    </row>
    <row r="1159" spans="1:12" x14ac:dyDescent="0.2">
      <c r="A1159" t="s">
        <v>5712</v>
      </c>
      <c r="B1159" t="s">
        <v>5713</v>
      </c>
      <c r="C1159" t="s">
        <v>1812</v>
      </c>
      <c r="E1159" t="s">
        <v>5714</v>
      </c>
      <c r="F1159">
        <v>4911</v>
      </c>
      <c r="G1159" t="s">
        <v>1005</v>
      </c>
      <c r="H1159" t="s">
        <v>16</v>
      </c>
      <c r="I1159" t="s">
        <v>5715</v>
      </c>
      <c r="J1159" t="s">
        <v>5716</v>
      </c>
      <c r="K1159" t="s">
        <v>1809</v>
      </c>
      <c r="L1159" t="str">
        <f>HYPERLINK("https://business-monitor.ch/de/companies/77369-beat-etter?utm_source=oberaargau","PROFIL ANSEHEN")</f>
        <v>PROFIL ANSEHEN</v>
      </c>
    </row>
    <row r="1160" spans="1:12" x14ac:dyDescent="0.2">
      <c r="A1160" t="s">
        <v>14321</v>
      </c>
      <c r="B1160" t="s">
        <v>14322</v>
      </c>
      <c r="C1160" t="s">
        <v>1812</v>
      </c>
      <c r="E1160" t="s">
        <v>12014</v>
      </c>
      <c r="F1160">
        <v>3360</v>
      </c>
      <c r="G1160" t="s">
        <v>35</v>
      </c>
      <c r="H1160" t="s">
        <v>16</v>
      </c>
      <c r="I1160" t="s">
        <v>2842</v>
      </c>
      <c r="J1160" t="s">
        <v>2843</v>
      </c>
      <c r="K1160" t="s">
        <v>1809</v>
      </c>
      <c r="L1160" t="str">
        <f>HYPERLINK("https://business-monitor.ch/de/companies/1287460-huber-consulting?utm_source=oberaargau","PROFIL ANSEHEN")</f>
        <v>PROFIL ANSEHEN</v>
      </c>
    </row>
    <row r="1161" spans="1:12" x14ac:dyDescent="0.2">
      <c r="A1161" t="s">
        <v>7883</v>
      </c>
      <c r="B1161" t="s">
        <v>7884</v>
      </c>
      <c r="C1161" t="s">
        <v>1812</v>
      </c>
      <c r="E1161" t="s">
        <v>6847</v>
      </c>
      <c r="F1161">
        <v>3366</v>
      </c>
      <c r="G1161" t="s">
        <v>728</v>
      </c>
      <c r="H1161" t="s">
        <v>16</v>
      </c>
      <c r="I1161" t="s">
        <v>824</v>
      </c>
      <c r="J1161" t="s">
        <v>825</v>
      </c>
      <c r="K1161" t="s">
        <v>1809</v>
      </c>
      <c r="L1161" t="str">
        <f>HYPERLINK("https://business-monitor.ch/de/companies/235957-restaurant-loewen-armin-luethi?utm_source=oberaargau","PROFIL ANSEHEN")</f>
        <v>PROFIL ANSEHEN</v>
      </c>
    </row>
    <row r="1162" spans="1:12" x14ac:dyDescent="0.2">
      <c r="A1162" t="s">
        <v>13103</v>
      </c>
      <c r="B1162" t="s">
        <v>13104</v>
      </c>
      <c r="C1162" t="s">
        <v>202</v>
      </c>
      <c r="D1162" t="s">
        <v>13105</v>
      </c>
      <c r="E1162" t="s">
        <v>3733</v>
      </c>
      <c r="F1162">
        <v>4924</v>
      </c>
      <c r="G1162" t="s">
        <v>3727</v>
      </c>
      <c r="H1162" t="s">
        <v>16</v>
      </c>
      <c r="I1162" t="s">
        <v>1296</v>
      </c>
      <c r="J1162" t="s">
        <v>1297</v>
      </c>
      <c r="K1162" t="s">
        <v>1809</v>
      </c>
      <c r="L1162" t="str">
        <f>HYPERLINK("https://business-monitor.ch/de/companies/1235119-imp-gmbh?utm_source=oberaargau","PROFIL ANSEHEN")</f>
        <v>PROFIL ANSEHEN</v>
      </c>
    </row>
    <row r="1163" spans="1:12" x14ac:dyDescent="0.2">
      <c r="A1163" t="s">
        <v>14326</v>
      </c>
      <c r="B1163" t="s">
        <v>14327</v>
      </c>
      <c r="C1163" t="s">
        <v>13</v>
      </c>
      <c r="E1163" t="s">
        <v>3185</v>
      </c>
      <c r="F1163">
        <v>4900</v>
      </c>
      <c r="G1163" t="s">
        <v>41</v>
      </c>
      <c r="H1163" t="s">
        <v>16</v>
      </c>
      <c r="I1163" t="s">
        <v>2197</v>
      </c>
      <c r="J1163" t="s">
        <v>2198</v>
      </c>
      <c r="K1163" t="s">
        <v>1809</v>
      </c>
      <c r="L1163" t="str">
        <f>HYPERLINK("https://business-monitor.ch/de/companies/1287759-affolter-dental-ag?utm_source=oberaargau","PROFIL ANSEHEN")</f>
        <v>PROFIL ANSEHEN</v>
      </c>
    </row>
    <row r="1164" spans="1:12" x14ac:dyDescent="0.2">
      <c r="A1164" t="s">
        <v>8202</v>
      </c>
      <c r="B1164" t="s">
        <v>8203</v>
      </c>
      <c r="C1164" t="s">
        <v>1812</v>
      </c>
      <c r="E1164" t="s">
        <v>8204</v>
      </c>
      <c r="F1164">
        <v>4913</v>
      </c>
      <c r="G1164" t="s">
        <v>207</v>
      </c>
      <c r="H1164" t="s">
        <v>16</v>
      </c>
      <c r="I1164" t="s">
        <v>1031</v>
      </c>
      <c r="J1164" t="s">
        <v>1032</v>
      </c>
      <c r="K1164" t="s">
        <v>1809</v>
      </c>
      <c r="L1164" t="str">
        <f>HYPERLINK("https://business-monitor.ch/de/companies/148116-bachmann-reinigung-und-waescherei?utm_source=oberaargau","PROFIL ANSEHEN")</f>
        <v>PROFIL ANSEHEN</v>
      </c>
    </row>
    <row r="1165" spans="1:12" x14ac:dyDescent="0.2">
      <c r="A1165" t="s">
        <v>3038</v>
      </c>
      <c r="B1165" t="s">
        <v>8780</v>
      </c>
      <c r="C1165" t="s">
        <v>202</v>
      </c>
      <c r="E1165" t="s">
        <v>8781</v>
      </c>
      <c r="F1165">
        <v>4914</v>
      </c>
      <c r="G1165" t="s">
        <v>717</v>
      </c>
      <c r="H1165" t="s">
        <v>16</v>
      </c>
      <c r="I1165" t="s">
        <v>24</v>
      </c>
      <c r="J1165" t="s">
        <v>25</v>
      </c>
      <c r="K1165" t="s">
        <v>1809</v>
      </c>
      <c r="L1165" t="str">
        <f>HYPERLINK("https://business-monitor.ch/de/companies/359500-huber-service-net-gmbh?utm_source=oberaargau","PROFIL ANSEHEN")</f>
        <v>PROFIL ANSEHEN</v>
      </c>
    </row>
    <row r="1166" spans="1:12" x14ac:dyDescent="0.2">
      <c r="A1166" t="s">
        <v>7999</v>
      </c>
      <c r="B1166" t="s">
        <v>8000</v>
      </c>
      <c r="C1166" t="s">
        <v>202</v>
      </c>
      <c r="E1166" t="s">
        <v>3414</v>
      </c>
      <c r="F1166">
        <v>3360</v>
      </c>
      <c r="G1166" t="s">
        <v>35</v>
      </c>
      <c r="H1166" t="s">
        <v>16</v>
      </c>
      <c r="I1166" t="s">
        <v>1918</v>
      </c>
      <c r="J1166" t="s">
        <v>1919</v>
      </c>
      <c r="K1166" t="s">
        <v>1809</v>
      </c>
      <c r="L1166" t="str">
        <f>HYPERLINK("https://business-monitor.ch/de/companies/1081339-optik-roemmel-gmbh?utm_source=oberaargau","PROFIL ANSEHEN")</f>
        <v>PROFIL ANSEHEN</v>
      </c>
    </row>
    <row r="1167" spans="1:12" x14ac:dyDescent="0.2">
      <c r="A1167" t="s">
        <v>13982</v>
      </c>
      <c r="B1167" t="s">
        <v>13983</v>
      </c>
      <c r="C1167" t="s">
        <v>1827</v>
      </c>
      <c r="D1167" t="s">
        <v>13984</v>
      </c>
      <c r="E1167" t="s">
        <v>13985</v>
      </c>
      <c r="F1167">
        <v>3368</v>
      </c>
      <c r="G1167" t="s">
        <v>308</v>
      </c>
      <c r="H1167" t="s">
        <v>16</v>
      </c>
      <c r="I1167" t="s">
        <v>1704</v>
      </c>
      <c r="J1167" t="s">
        <v>1705</v>
      </c>
      <c r="K1167" t="s">
        <v>1809</v>
      </c>
      <c r="L1167" t="str">
        <f>HYPERLINK("https://business-monitor.ch/de/companies/1275852-motos-wonders-klg?utm_source=oberaargau","PROFIL ANSEHEN")</f>
        <v>PROFIL ANSEHEN</v>
      </c>
    </row>
    <row r="1168" spans="1:12" x14ac:dyDescent="0.2">
      <c r="A1168" t="s">
        <v>5528</v>
      </c>
      <c r="B1168" t="s">
        <v>5529</v>
      </c>
      <c r="C1168" t="s">
        <v>1812</v>
      </c>
      <c r="E1168" t="s">
        <v>4422</v>
      </c>
      <c r="F1168">
        <v>3373</v>
      </c>
      <c r="G1168" t="s">
        <v>2429</v>
      </c>
      <c r="H1168" t="s">
        <v>16</v>
      </c>
      <c r="I1168" t="s">
        <v>10602</v>
      </c>
      <c r="J1168" t="s">
        <v>10603</v>
      </c>
      <c r="K1168" t="s">
        <v>1809</v>
      </c>
      <c r="L1168" t="str">
        <f>HYPERLINK("https://business-monitor.ch/de/companies/90245-walter-reinmann-gebaeudereinigungen?utm_source=oberaargau","PROFIL ANSEHEN")</f>
        <v>PROFIL ANSEHEN</v>
      </c>
    </row>
    <row r="1169" spans="1:12" x14ac:dyDescent="0.2">
      <c r="A1169" t="s">
        <v>7383</v>
      </c>
      <c r="B1169" t="s">
        <v>7384</v>
      </c>
      <c r="C1169" t="s">
        <v>13</v>
      </c>
      <c r="E1169" t="s">
        <v>4452</v>
      </c>
      <c r="F1169">
        <v>4900</v>
      </c>
      <c r="G1169" t="s">
        <v>41</v>
      </c>
      <c r="H1169" t="s">
        <v>16</v>
      </c>
      <c r="I1169" t="s">
        <v>640</v>
      </c>
      <c r="J1169" t="s">
        <v>641</v>
      </c>
      <c r="K1169" t="s">
        <v>1809</v>
      </c>
      <c r="L1169" t="str">
        <f>HYPERLINK("https://business-monitor.ch/de/companies/969073-tourismus-langetental-ag?utm_source=oberaargau","PROFIL ANSEHEN")</f>
        <v>PROFIL ANSEHEN</v>
      </c>
    </row>
    <row r="1170" spans="1:12" x14ac:dyDescent="0.2">
      <c r="A1170" t="s">
        <v>5036</v>
      </c>
      <c r="B1170" t="s">
        <v>5037</v>
      </c>
      <c r="C1170" t="s">
        <v>1922</v>
      </c>
      <c r="E1170" t="s">
        <v>1848</v>
      </c>
      <c r="F1170">
        <v>3368</v>
      </c>
      <c r="G1170" t="s">
        <v>308</v>
      </c>
      <c r="H1170" t="s">
        <v>16</v>
      </c>
      <c r="I1170" t="s">
        <v>2545</v>
      </c>
      <c r="J1170" t="s">
        <v>2546</v>
      </c>
      <c r="K1170" t="s">
        <v>1809</v>
      </c>
      <c r="L1170" t="str">
        <f>HYPERLINK("https://business-monitor.ch/de/companies/256977-inklusia?utm_source=oberaargau","PROFIL ANSEHEN")</f>
        <v>PROFIL ANSEHEN</v>
      </c>
    </row>
    <row r="1171" spans="1:12" x14ac:dyDescent="0.2">
      <c r="A1171" t="s">
        <v>6484</v>
      </c>
      <c r="B1171" t="s">
        <v>6485</v>
      </c>
      <c r="C1171" t="s">
        <v>202</v>
      </c>
      <c r="E1171" t="s">
        <v>6486</v>
      </c>
      <c r="F1171">
        <v>3367</v>
      </c>
      <c r="G1171" t="s">
        <v>455</v>
      </c>
      <c r="H1171" t="s">
        <v>16</v>
      </c>
      <c r="I1171" t="s">
        <v>1470</v>
      </c>
      <c r="J1171" t="s">
        <v>1471</v>
      </c>
      <c r="K1171" t="s">
        <v>1809</v>
      </c>
      <c r="L1171" t="str">
        <f>HYPERLINK("https://business-monitor.ch/de/companies/259121-gruetter-sanitaer-und-heizung-gmbh?utm_source=oberaargau","PROFIL ANSEHEN")</f>
        <v>PROFIL ANSEHEN</v>
      </c>
    </row>
    <row r="1172" spans="1:12" x14ac:dyDescent="0.2">
      <c r="A1172" t="s">
        <v>2936</v>
      </c>
      <c r="B1172" t="s">
        <v>2937</v>
      </c>
      <c r="C1172" t="s">
        <v>1812</v>
      </c>
      <c r="E1172" t="s">
        <v>2938</v>
      </c>
      <c r="F1172">
        <v>4952</v>
      </c>
      <c r="G1172" t="s">
        <v>474</v>
      </c>
      <c r="H1172" t="s">
        <v>16</v>
      </c>
      <c r="I1172" t="s">
        <v>5667</v>
      </c>
      <c r="J1172" t="s">
        <v>5668</v>
      </c>
      <c r="K1172" t="s">
        <v>1809</v>
      </c>
      <c r="L1172" t="str">
        <f>HYPERLINK("https://business-monitor.ch/de/companies/379817-ecorep-straumann?utm_source=oberaargau","PROFIL ANSEHEN")</f>
        <v>PROFIL ANSEHEN</v>
      </c>
    </row>
    <row r="1173" spans="1:12" x14ac:dyDescent="0.2">
      <c r="A1173" t="s">
        <v>9336</v>
      </c>
      <c r="B1173" t="s">
        <v>9337</v>
      </c>
      <c r="C1173" t="s">
        <v>202</v>
      </c>
      <c r="E1173" t="s">
        <v>9338</v>
      </c>
      <c r="F1173">
        <v>4917</v>
      </c>
      <c r="G1173" t="s">
        <v>376</v>
      </c>
      <c r="H1173" t="s">
        <v>16</v>
      </c>
      <c r="I1173" t="s">
        <v>1026</v>
      </c>
      <c r="J1173" t="s">
        <v>1027</v>
      </c>
      <c r="K1173" t="s">
        <v>1809</v>
      </c>
      <c r="L1173" t="str">
        <f>HYPERLINK("https://business-monitor.ch/de/companies/80842-stuker-reisemobile-gmbh?utm_source=oberaargau","PROFIL ANSEHEN")</f>
        <v>PROFIL ANSEHEN</v>
      </c>
    </row>
    <row r="1174" spans="1:12" x14ac:dyDescent="0.2">
      <c r="A1174" t="s">
        <v>13222</v>
      </c>
      <c r="B1174" t="s">
        <v>13223</v>
      </c>
      <c r="C1174" t="s">
        <v>202</v>
      </c>
      <c r="E1174" t="s">
        <v>13224</v>
      </c>
      <c r="F1174">
        <v>4914</v>
      </c>
      <c r="G1174" t="s">
        <v>105</v>
      </c>
      <c r="H1174" t="s">
        <v>16</v>
      </c>
      <c r="I1174" t="s">
        <v>153</v>
      </c>
      <c r="J1174" t="s">
        <v>154</v>
      </c>
      <c r="K1174" t="s">
        <v>1809</v>
      </c>
      <c r="L1174" t="str">
        <f>HYPERLINK("https://business-monitor.ch/de/companies/1238596-canal-care-consulting-gmbh?utm_source=oberaargau","PROFIL ANSEHEN")</f>
        <v>PROFIL ANSEHEN</v>
      </c>
    </row>
    <row r="1175" spans="1:12" x14ac:dyDescent="0.2">
      <c r="A1175" t="s">
        <v>10408</v>
      </c>
      <c r="B1175" t="s">
        <v>10409</v>
      </c>
      <c r="C1175" t="s">
        <v>1812</v>
      </c>
      <c r="E1175" t="s">
        <v>10410</v>
      </c>
      <c r="F1175">
        <v>4538</v>
      </c>
      <c r="G1175" t="s">
        <v>71</v>
      </c>
      <c r="H1175" t="s">
        <v>16</v>
      </c>
      <c r="I1175" t="s">
        <v>608</v>
      </c>
      <c r="J1175" t="s">
        <v>609</v>
      </c>
      <c r="K1175" t="s">
        <v>1809</v>
      </c>
      <c r="L1175" t="str">
        <f>HYPERLINK("https://business-monitor.ch/de/companies/353730-schreinerei-wagner?utm_source=oberaargau","PROFIL ANSEHEN")</f>
        <v>PROFIL ANSEHEN</v>
      </c>
    </row>
    <row r="1176" spans="1:12" x14ac:dyDescent="0.2">
      <c r="A1176" t="s">
        <v>14090</v>
      </c>
      <c r="B1176" t="s">
        <v>14091</v>
      </c>
      <c r="C1176" t="s">
        <v>2178</v>
      </c>
      <c r="E1176" t="s">
        <v>161</v>
      </c>
      <c r="F1176">
        <v>4922</v>
      </c>
      <c r="G1176" t="s">
        <v>99</v>
      </c>
      <c r="H1176" t="s">
        <v>16</v>
      </c>
      <c r="I1176" t="s">
        <v>162</v>
      </c>
      <c r="J1176" t="s">
        <v>163</v>
      </c>
      <c r="K1176" t="s">
        <v>1809</v>
      </c>
      <c r="L1176" t="str">
        <f>HYPERLINK("https://business-monitor.ch/de/companies/1275941-glas-troesch-ag-zweigniederlassung-isolier-und-sicherheitsglas?utm_source=oberaargau","PROFIL ANSEHEN")</f>
        <v>PROFIL ANSEHEN</v>
      </c>
    </row>
    <row r="1177" spans="1:12" x14ac:dyDescent="0.2">
      <c r="A1177" t="s">
        <v>8518</v>
      </c>
      <c r="B1177" t="s">
        <v>8519</v>
      </c>
      <c r="C1177" t="s">
        <v>202</v>
      </c>
      <c r="E1177" t="s">
        <v>2559</v>
      </c>
      <c r="F1177">
        <v>4704</v>
      </c>
      <c r="G1177" t="s">
        <v>221</v>
      </c>
      <c r="H1177" t="s">
        <v>16</v>
      </c>
      <c r="I1177" t="s">
        <v>1855</v>
      </c>
      <c r="J1177" t="s">
        <v>1856</v>
      </c>
      <c r="K1177" t="s">
        <v>1809</v>
      </c>
      <c r="L1177" t="str">
        <f>HYPERLINK("https://business-monitor.ch/de/companies/503626-enjoy-cosmetic-gmbh?utm_source=oberaargau","PROFIL ANSEHEN")</f>
        <v>PROFIL ANSEHEN</v>
      </c>
    </row>
    <row r="1178" spans="1:12" x14ac:dyDescent="0.2">
      <c r="A1178" t="s">
        <v>12587</v>
      </c>
      <c r="B1178" t="s">
        <v>12588</v>
      </c>
      <c r="C1178" t="s">
        <v>13</v>
      </c>
      <c r="E1178" t="s">
        <v>1108</v>
      </c>
      <c r="F1178">
        <v>4900</v>
      </c>
      <c r="G1178" t="s">
        <v>41</v>
      </c>
      <c r="H1178" t="s">
        <v>16</v>
      </c>
      <c r="I1178" t="s">
        <v>551</v>
      </c>
      <c r="J1178" t="s">
        <v>552</v>
      </c>
      <c r="K1178" t="s">
        <v>1809</v>
      </c>
      <c r="L1178" t="str">
        <f>HYPERLINK("https://business-monitor.ch/de/companies/28908-frischherz-partner-ag?utm_source=oberaargau","PROFIL ANSEHEN")</f>
        <v>PROFIL ANSEHEN</v>
      </c>
    </row>
    <row r="1179" spans="1:12" x14ac:dyDescent="0.2">
      <c r="A1179" t="s">
        <v>4182</v>
      </c>
      <c r="B1179" t="s">
        <v>4183</v>
      </c>
      <c r="C1179" t="s">
        <v>13</v>
      </c>
      <c r="E1179" t="s">
        <v>4184</v>
      </c>
      <c r="F1179">
        <v>4955</v>
      </c>
      <c r="G1179" t="s">
        <v>684</v>
      </c>
      <c r="H1179" t="s">
        <v>16</v>
      </c>
      <c r="I1179" t="s">
        <v>4185</v>
      </c>
      <c r="J1179" t="s">
        <v>4186</v>
      </c>
      <c r="K1179" t="s">
        <v>1809</v>
      </c>
      <c r="L1179" t="str">
        <f>HYPERLINK("https://business-monitor.ch/de/companies/1010341-nyfeler-holzwaren-ag?utm_source=oberaargau","PROFIL ANSEHEN")</f>
        <v>PROFIL ANSEHEN</v>
      </c>
    </row>
    <row r="1180" spans="1:12" x14ac:dyDescent="0.2">
      <c r="A1180" t="s">
        <v>2605</v>
      </c>
      <c r="B1180" t="s">
        <v>2606</v>
      </c>
      <c r="C1180" t="s">
        <v>202</v>
      </c>
      <c r="E1180" t="s">
        <v>2607</v>
      </c>
      <c r="F1180">
        <v>3368</v>
      </c>
      <c r="G1180" t="s">
        <v>308</v>
      </c>
      <c r="H1180" t="s">
        <v>16</v>
      </c>
      <c r="I1180" t="s">
        <v>1548</v>
      </c>
      <c r="J1180" t="s">
        <v>1549</v>
      </c>
      <c r="K1180" t="s">
        <v>1809</v>
      </c>
      <c r="L1180" t="str">
        <f>HYPERLINK("https://business-monitor.ch/de/companies/502114-partl-beck-gmbh?utm_source=oberaargau","PROFIL ANSEHEN")</f>
        <v>PROFIL ANSEHEN</v>
      </c>
    </row>
    <row r="1181" spans="1:12" x14ac:dyDescent="0.2">
      <c r="A1181" t="s">
        <v>3724</v>
      </c>
      <c r="B1181" t="s">
        <v>3725</v>
      </c>
      <c r="C1181" t="s">
        <v>202</v>
      </c>
      <c r="E1181" t="s">
        <v>3726</v>
      </c>
      <c r="F1181">
        <v>4924</v>
      </c>
      <c r="G1181" t="s">
        <v>3727</v>
      </c>
      <c r="H1181" t="s">
        <v>16</v>
      </c>
      <c r="I1181" t="s">
        <v>854</v>
      </c>
      <c r="J1181" t="s">
        <v>855</v>
      </c>
      <c r="K1181" t="s">
        <v>1809</v>
      </c>
      <c r="L1181" t="str">
        <f>HYPERLINK("https://business-monitor.ch/de/companies/702935-ropro-technics-gmbh?utm_source=oberaargau","PROFIL ANSEHEN")</f>
        <v>PROFIL ANSEHEN</v>
      </c>
    </row>
    <row r="1182" spans="1:12" x14ac:dyDescent="0.2">
      <c r="A1182" t="s">
        <v>4589</v>
      </c>
      <c r="B1182" t="s">
        <v>4590</v>
      </c>
      <c r="C1182" t="s">
        <v>13</v>
      </c>
      <c r="E1182" t="s">
        <v>4591</v>
      </c>
      <c r="F1182">
        <v>4934</v>
      </c>
      <c r="G1182" t="s">
        <v>670</v>
      </c>
      <c r="H1182" t="s">
        <v>16</v>
      </c>
      <c r="I1182" t="s">
        <v>2197</v>
      </c>
      <c r="J1182" t="s">
        <v>2198</v>
      </c>
      <c r="K1182" t="s">
        <v>1809</v>
      </c>
      <c r="L1182" t="str">
        <f>HYPERLINK("https://business-monitor.ch/de/companies/650161-zahnarztpraxis-constance-maehler-ag?utm_source=oberaargau","PROFIL ANSEHEN")</f>
        <v>PROFIL ANSEHEN</v>
      </c>
    </row>
    <row r="1183" spans="1:12" x14ac:dyDescent="0.2">
      <c r="A1183" t="s">
        <v>14422</v>
      </c>
      <c r="B1183" t="s">
        <v>14423</v>
      </c>
      <c r="C1183" t="s">
        <v>1812</v>
      </c>
      <c r="E1183" t="s">
        <v>14424</v>
      </c>
      <c r="F1183">
        <v>4704</v>
      </c>
      <c r="G1183" t="s">
        <v>221</v>
      </c>
      <c r="H1183" t="s">
        <v>16</v>
      </c>
      <c r="I1183" t="s">
        <v>1835</v>
      </c>
      <c r="J1183" t="s">
        <v>1836</v>
      </c>
      <c r="K1183" t="s">
        <v>1809</v>
      </c>
      <c r="L1183" t="str">
        <f>HYPERLINK("https://business-monitor.ch/de/companies/1303823-roelma-reinigung-inhaber-palloshi-perparim?utm_source=oberaargau","PROFIL ANSEHEN")</f>
        <v>PROFIL ANSEHEN</v>
      </c>
    </row>
    <row r="1184" spans="1:12" x14ac:dyDescent="0.2">
      <c r="A1184" t="s">
        <v>12024</v>
      </c>
      <c r="B1184" t="s">
        <v>14211</v>
      </c>
      <c r="C1184" t="s">
        <v>202</v>
      </c>
      <c r="E1184" t="s">
        <v>8746</v>
      </c>
      <c r="F1184">
        <v>4537</v>
      </c>
      <c r="G1184" t="s">
        <v>113</v>
      </c>
      <c r="H1184" t="s">
        <v>16</v>
      </c>
      <c r="I1184" t="s">
        <v>486</v>
      </c>
      <c r="J1184" t="s">
        <v>487</v>
      </c>
      <c r="K1184" t="s">
        <v>1809</v>
      </c>
      <c r="L1184" t="str">
        <f>HYPERLINK("https://business-monitor.ch/de/companies/993919-alvetic-gmbh?utm_source=oberaargau","PROFIL ANSEHEN")</f>
        <v>PROFIL ANSEHEN</v>
      </c>
    </row>
    <row r="1185" spans="1:12" x14ac:dyDescent="0.2">
      <c r="A1185" t="s">
        <v>9882</v>
      </c>
      <c r="B1185" t="s">
        <v>9883</v>
      </c>
      <c r="C1185" t="s">
        <v>202</v>
      </c>
      <c r="E1185" t="s">
        <v>9884</v>
      </c>
      <c r="F1185">
        <v>4950</v>
      </c>
      <c r="G1185" t="s">
        <v>15</v>
      </c>
      <c r="H1185" t="s">
        <v>16</v>
      </c>
      <c r="I1185" t="s">
        <v>838</v>
      </c>
      <c r="J1185" t="s">
        <v>839</v>
      </c>
      <c r="K1185" t="s">
        <v>1809</v>
      </c>
      <c r="L1185" t="str">
        <f>HYPERLINK("https://business-monitor.ch/de/companies/975401-boutique-naturel-gmbh?utm_source=oberaargau","PROFIL ANSEHEN")</f>
        <v>PROFIL ANSEHEN</v>
      </c>
    </row>
    <row r="1186" spans="1:12" x14ac:dyDescent="0.2">
      <c r="A1186" t="s">
        <v>1734</v>
      </c>
      <c r="B1186" t="s">
        <v>5385</v>
      </c>
      <c r="C1186" t="s">
        <v>1812</v>
      </c>
      <c r="E1186" t="s">
        <v>5386</v>
      </c>
      <c r="F1186">
        <v>4900</v>
      </c>
      <c r="G1186" t="s">
        <v>41</v>
      </c>
      <c r="H1186" t="s">
        <v>16</v>
      </c>
      <c r="I1186" t="s">
        <v>175</v>
      </c>
      <c r="J1186" t="s">
        <v>176</v>
      </c>
      <c r="K1186" t="s">
        <v>1809</v>
      </c>
      <c r="L1186" t="str">
        <f>HYPERLINK("https://business-monitor.ch/de/companies/352791-w-haldemann?utm_source=oberaargau","PROFIL ANSEHEN")</f>
        <v>PROFIL ANSEHEN</v>
      </c>
    </row>
    <row r="1187" spans="1:12" x14ac:dyDescent="0.2">
      <c r="A1187" t="s">
        <v>11790</v>
      </c>
      <c r="B1187" t="s">
        <v>11791</v>
      </c>
      <c r="C1187" t="s">
        <v>202</v>
      </c>
      <c r="E1187" t="s">
        <v>9421</v>
      </c>
      <c r="F1187">
        <v>4923</v>
      </c>
      <c r="G1187" t="s">
        <v>732</v>
      </c>
      <c r="H1187" t="s">
        <v>16</v>
      </c>
      <c r="I1187" t="s">
        <v>1945</v>
      </c>
      <c r="J1187" t="s">
        <v>1946</v>
      </c>
      <c r="K1187" t="s">
        <v>1809</v>
      </c>
      <c r="L1187" t="str">
        <f>HYPERLINK("https://business-monitor.ch/de/companies/1161422-lumen-bestattungsdienst-gmbh?utm_source=oberaargau","PROFIL ANSEHEN")</f>
        <v>PROFIL ANSEHEN</v>
      </c>
    </row>
    <row r="1188" spans="1:12" x14ac:dyDescent="0.2">
      <c r="A1188" t="s">
        <v>4990</v>
      </c>
      <c r="B1188" t="s">
        <v>4991</v>
      </c>
      <c r="C1188" t="s">
        <v>13</v>
      </c>
      <c r="D1188" t="s">
        <v>4992</v>
      </c>
      <c r="E1188" t="s">
        <v>4993</v>
      </c>
      <c r="F1188">
        <v>4934</v>
      </c>
      <c r="G1188" t="s">
        <v>670</v>
      </c>
      <c r="H1188" t="s">
        <v>16</v>
      </c>
      <c r="I1188" t="s">
        <v>186</v>
      </c>
      <c r="J1188" t="s">
        <v>187</v>
      </c>
      <c r="K1188" t="s">
        <v>1809</v>
      </c>
      <c r="L1188" t="str">
        <f>HYPERLINK("https://business-monitor.ch/de/companies/1065284-future-plants-ag?utm_source=oberaargau","PROFIL ANSEHEN")</f>
        <v>PROFIL ANSEHEN</v>
      </c>
    </row>
    <row r="1189" spans="1:12" x14ac:dyDescent="0.2">
      <c r="A1189" t="s">
        <v>14425</v>
      </c>
      <c r="B1189" t="s">
        <v>14426</v>
      </c>
      <c r="C1189" t="s">
        <v>202</v>
      </c>
      <c r="D1189" t="s">
        <v>14427</v>
      </c>
      <c r="E1189" t="s">
        <v>14428</v>
      </c>
      <c r="F1189">
        <v>3367</v>
      </c>
      <c r="G1189" t="s">
        <v>455</v>
      </c>
      <c r="H1189" t="s">
        <v>16</v>
      </c>
      <c r="I1189" t="s">
        <v>186</v>
      </c>
      <c r="J1189" t="s">
        <v>187</v>
      </c>
      <c r="K1189" t="s">
        <v>1809</v>
      </c>
      <c r="L1189" t="str">
        <f>HYPERLINK("https://business-monitor.ch/de/companies/1296582-ebs-group-gmbh?utm_source=oberaargau","PROFIL ANSEHEN")</f>
        <v>PROFIL ANSEHEN</v>
      </c>
    </row>
    <row r="1190" spans="1:12" x14ac:dyDescent="0.2">
      <c r="A1190" t="s">
        <v>7361</v>
      </c>
      <c r="B1190" t="s">
        <v>7362</v>
      </c>
      <c r="C1190" t="s">
        <v>1812</v>
      </c>
      <c r="E1190" t="s">
        <v>7363</v>
      </c>
      <c r="F1190">
        <v>3374</v>
      </c>
      <c r="G1190" t="s">
        <v>894</v>
      </c>
      <c r="H1190" t="s">
        <v>16</v>
      </c>
      <c r="I1190" t="s">
        <v>1535</v>
      </c>
      <c r="J1190" t="s">
        <v>1536</v>
      </c>
      <c r="K1190" t="s">
        <v>1809</v>
      </c>
      <c r="L1190" t="str">
        <f>HYPERLINK("https://business-monitor.ch/de/companies/979721-ludwig-gartenbau?utm_source=oberaargau","PROFIL ANSEHEN")</f>
        <v>PROFIL ANSEHEN</v>
      </c>
    </row>
    <row r="1191" spans="1:12" x14ac:dyDescent="0.2">
      <c r="A1191" t="s">
        <v>14429</v>
      </c>
      <c r="B1191" t="s">
        <v>14430</v>
      </c>
      <c r="C1191" t="s">
        <v>1812</v>
      </c>
      <c r="E1191" t="s">
        <v>14431</v>
      </c>
      <c r="F1191">
        <v>4900</v>
      </c>
      <c r="G1191" t="s">
        <v>41</v>
      </c>
      <c r="H1191" t="s">
        <v>16</v>
      </c>
      <c r="I1191" t="s">
        <v>2748</v>
      </c>
      <c r="J1191" t="s">
        <v>2749</v>
      </c>
      <c r="K1191" t="s">
        <v>1809</v>
      </c>
      <c r="L1191" t="str">
        <f>HYPERLINK("https://business-monitor.ch/de/companies/1296578-maria-sollberger?utm_source=oberaargau","PROFIL ANSEHEN")</f>
        <v>PROFIL ANSEHEN</v>
      </c>
    </row>
    <row r="1192" spans="1:12" x14ac:dyDescent="0.2">
      <c r="A1192" t="s">
        <v>11611</v>
      </c>
      <c r="B1192" t="s">
        <v>11612</v>
      </c>
      <c r="C1192" t="s">
        <v>202</v>
      </c>
      <c r="E1192" t="s">
        <v>11613</v>
      </c>
      <c r="F1192">
        <v>4914</v>
      </c>
      <c r="G1192" t="s">
        <v>105</v>
      </c>
      <c r="H1192" t="s">
        <v>16</v>
      </c>
      <c r="I1192" t="s">
        <v>574</v>
      </c>
      <c r="J1192" t="s">
        <v>575</v>
      </c>
      <c r="K1192" t="s">
        <v>1809</v>
      </c>
      <c r="L1192" t="str">
        <f>HYPERLINK("https://business-monitor.ch/de/companies/1142058-sulakshan-gmbh?utm_source=oberaargau","PROFIL ANSEHEN")</f>
        <v>PROFIL ANSEHEN</v>
      </c>
    </row>
    <row r="1193" spans="1:12" x14ac:dyDescent="0.2">
      <c r="A1193" t="s">
        <v>11261</v>
      </c>
      <c r="B1193" t="s">
        <v>11262</v>
      </c>
      <c r="C1193" t="s">
        <v>1812</v>
      </c>
      <c r="E1193" t="s">
        <v>11263</v>
      </c>
      <c r="F1193">
        <v>4900</v>
      </c>
      <c r="G1193" t="s">
        <v>41</v>
      </c>
      <c r="H1193" t="s">
        <v>16</v>
      </c>
      <c r="I1193" t="s">
        <v>551</v>
      </c>
      <c r="J1193" t="s">
        <v>552</v>
      </c>
      <c r="K1193" t="s">
        <v>1809</v>
      </c>
      <c r="L1193" t="str">
        <f>HYPERLINK("https://business-monitor.ch/de/companies/216629-niklaus-schaer-wirtschafts-und-sozialgestaltung?utm_source=oberaargau","PROFIL ANSEHEN")</f>
        <v>PROFIL ANSEHEN</v>
      </c>
    </row>
    <row r="1194" spans="1:12" x14ac:dyDescent="0.2">
      <c r="A1194" t="s">
        <v>12794</v>
      </c>
      <c r="B1194" t="s">
        <v>12795</v>
      </c>
      <c r="C1194" t="s">
        <v>1812</v>
      </c>
      <c r="E1194" t="s">
        <v>12796</v>
      </c>
      <c r="F1194">
        <v>3372</v>
      </c>
      <c r="G1194" t="s">
        <v>2120</v>
      </c>
      <c r="H1194" t="s">
        <v>16</v>
      </c>
      <c r="I1194" t="s">
        <v>3864</v>
      </c>
      <c r="J1194" t="s">
        <v>3865</v>
      </c>
      <c r="K1194" t="s">
        <v>1809</v>
      </c>
      <c r="L1194" t="str">
        <f>HYPERLINK("https://business-monitor.ch/de/companies/1215838-tim-brandford-fotografie?utm_source=oberaargau","PROFIL ANSEHEN")</f>
        <v>PROFIL ANSEHEN</v>
      </c>
    </row>
    <row r="1195" spans="1:12" x14ac:dyDescent="0.2">
      <c r="A1195" t="s">
        <v>8132</v>
      </c>
      <c r="B1195" t="s">
        <v>8133</v>
      </c>
      <c r="C1195" t="s">
        <v>1812</v>
      </c>
      <c r="E1195" t="s">
        <v>8134</v>
      </c>
      <c r="F1195">
        <v>4938</v>
      </c>
      <c r="G1195" t="s">
        <v>618</v>
      </c>
      <c r="H1195" t="s">
        <v>16</v>
      </c>
      <c r="I1195" t="s">
        <v>642</v>
      </c>
      <c r="J1195" t="s">
        <v>643</v>
      </c>
      <c r="K1195" t="s">
        <v>1809</v>
      </c>
      <c r="L1195" t="str">
        <f>HYPERLINK("https://business-monitor.ch/de/companies/204562-werner-mathys?utm_source=oberaargau","PROFIL ANSEHEN")</f>
        <v>PROFIL ANSEHEN</v>
      </c>
    </row>
    <row r="1196" spans="1:12" x14ac:dyDescent="0.2">
      <c r="A1196" t="s">
        <v>12203</v>
      </c>
      <c r="B1196" t="s">
        <v>12204</v>
      </c>
      <c r="C1196" t="s">
        <v>202</v>
      </c>
      <c r="E1196" t="s">
        <v>12205</v>
      </c>
      <c r="F1196">
        <v>4900</v>
      </c>
      <c r="G1196" t="s">
        <v>41</v>
      </c>
      <c r="H1196" t="s">
        <v>16</v>
      </c>
      <c r="I1196" t="s">
        <v>2226</v>
      </c>
      <c r="J1196" t="s">
        <v>2227</v>
      </c>
      <c r="K1196" t="s">
        <v>1809</v>
      </c>
      <c r="L1196" t="str">
        <f>HYPERLINK("https://business-monitor.ch/de/companies/1187690-liv-physio-active-gmbh?utm_source=oberaargau","PROFIL ANSEHEN")</f>
        <v>PROFIL ANSEHEN</v>
      </c>
    </row>
    <row r="1197" spans="1:12" x14ac:dyDescent="0.2">
      <c r="A1197" t="s">
        <v>7469</v>
      </c>
      <c r="B1197" t="s">
        <v>7470</v>
      </c>
      <c r="C1197" t="s">
        <v>13</v>
      </c>
      <c r="D1197" t="s">
        <v>7471</v>
      </c>
      <c r="E1197" t="s">
        <v>7472</v>
      </c>
      <c r="F1197">
        <v>4537</v>
      </c>
      <c r="G1197" t="s">
        <v>113</v>
      </c>
      <c r="H1197" t="s">
        <v>16</v>
      </c>
      <c r="I1197" t="s">
        <v>906</v>
      </c>
      <c r="J1197" t="s">
        <v>907</v>
      </c>
      <c r="K1197" t="s">
        <v>1809</v>
      </c>
      <c r="L1197" t="str">
        <f>HYPERLINK("https://business-monitor.ch/de/companies/928583-spheros-ag?utm_source=oberaargau","PROFIL ANSEHEN")</f>
        <v>PROFIL ANSEHEN</v>
      </c>
    </row>
    <row r="1198" spans="1:12" x14ac:dyDescent="0.2">
      <c r="A1198" t="s">
        <v>7168</v>
      </c>
      <c r="B1198" t="s">
        <v>909</v>
      </c>
      <c r="C1198" t="s">
        <v>2178</v>
      </c>
      <c r="E1198" t="s">
        <v>4258</v>
      </c>
      <c r="F1198">
        <v>4900</v>
      </c>
      <c r="G1198" t="s">
        <v>41</v>
      </c>
      <c r="H1198" t="s">
        <v>16</v>
      </c>
      <c r="I1198" t="s">
        <v>134</v>
      </c>
      <c r="J1198" t="s">
        <v>135</v>
      </c>
      <c r="K1198" t="s">
        <v>1809</v>
      </c>
      <c r="L1198" t="str">
        <f>HYPERLINK("https://business-monitor.ch/de/companies/595201-elektro-kohler-ag?utm_source=oberaargau","PROFIL ANSEHEN")</f>
        <v>PROFIL ANSEHEN</v>
      </c>
    </row>
    <row r="1199" spans="1:12" x14ac:dyDescent="0.2">
      <c r="A1199" t="s">
        <v>8377</v>
      </c>
      <c r="B1199" t="s">
        <v>8378</v>
      </c>
      <c r="C1199" t="s">
        <v>202</v>
      </c>
      <c r="E1199" t="s">
        <v>8379</v>
      </c>
      <c r="F1199">
        <v>3372</v>
      </c>
      <c r="G1199" t="s">
        <v>2120</v>
      </c>
      <c r="H1199" t="s">
        <v>16</v>
      </c>
      <c r="I1199" t="s">
        <v>331</v>
      </c>
      <c r="J1199" t="s">
        <v>332</v>
      </c>
      <c r="K1199" t="s">
        <v>1809</v>
      </c>
      <c r="L1199" t="str">
        <f>HYPERLINK("https://business-monitor.ch/de/companies/108605-kurt-mechanik-gmbh?utm_source=oberaargau","PROFIL ANSEHEN")</f>
        <v>PROFIL ANSEHEN</v>
      </c>
    </row>
    <row r="1200" spans="1:12" x14ac:dyDescent="0.2">
      <c r="A1200" t="s">
        <v>8193</v>
      </c>
      <c r="B1200" t="s">
        <v>8194</v>
      </c>
      <c r="C1200" t="s">
        <v>1812</v>
      </c>
      <c r="E1200" t="s">
        <v>8195</v>
      </c>
      <c r="F1200">
        <v>4917</v>
      </c>
      <c r="G1200" t="s">
        <v>376</v>
      </c>
      <c r="H1200" t="s">
        <v>16</v>
      </c>
      <c r="I1200" t="s">
        <v>2231</v>
      </c>
      <c r="J1200" t="s">
        <v>2232</v>
      </c>
      <c r="K1200" t="s">
        <v>1809</v>
      </c>
      <c r="L1200" t="str">
        <f>HYPERLINK("https://business-monitor.ch/de/companies/157578-malergeschaeft-christoph-brunschwiler?utm_source=oberaargau","PROFIL ANSEHEN")</f>
        <v>PROFIL ANSEHEN</v>
      </c>
    </row>
    <row r="1201" spans="1:12" x14ac:dyDescent="0.2">
      <c r="A1201" t="s">
        <v>5139</v>
      </c>
      <c r="B1201" t="s">
        <v>5140</v>
      </c>
      <c r="C1201" t="s">
        <v>1812</v>
      </c>
      <c r="E1201" t="s">
        <v>5141</v>
      </c>
      <c r="F1201">
        <v>4900</v>
      </c>
      <c r="G1201" t="s">
        <v>41</v>
      </c>
      <c r="H1201" t="s">
        <v>16</v>
      </c>
      <c r="I1201" t="s">
        <v>5142</v>
      </c>
      <c r="J1201" t="s">
        <v>5143</v>
      </c>
      <c r="K1201" t="s">
        <v>1809</v>
      </c>
      <c r="L1201" t="str">
        <f>HYPERLINK("https://business-monitor.ch/de/companies/128254-lc-lappert-consulting?utm_source=oberaargau","PROFIL ANSEHEN")</f>
        <v>PROFIL ANSEHEN</v>
      </c>
    </row>
    <row r="1202" spans="1:12" x14ac:dyDescent="0.2">
      <c r="A1202" t="s">
        <v>14432</v>
      </c>
      <c r="B1202" t="s">
        <v>14433</v>
      </c>
      <c r="C1202" t="s">
        <v>1812</v>
      </c>
      <c r="E1202" t="s">
        <v>14434</v>
      </c>
      <c r="F1202">
        <v>4538</v>
      </c>
      <c r="G1202" t="s">
        <v>71</v>
      </c>
      <c r="H1202" t="s">
        <v>16</v>
      </c>
      <c r="I1202" t="s">
        <v>733</v>
      </c>
      <c r="J1202" t="s">
        <v>734</v>
      </c>
      <c r="K1202" t="s">
        <v>1809</v>
      </c>
      <c r="L1202" t="str">
        <f>HYPERLINK("https://business-monitor.ch/de/companies/1107830-festim-kuqica-automobile?utm_source=oberaargau","PROFIL ANSEHEN")</f>
        <v>PROFIL ANSEHEN</v>
      </c>
    </row>
    <row r="1203" spans="1:12" x14ac:dyDescent="0.2">
      <c r="A1203" t="s">
        <v>1944</v>
      </c>
      <c r="B1203" t="s">
        <v>11155</v>
      </c>
      <c r="C1203" t="s">
        <v>1812</v>
      </c>
      <c r="E1203" t="s">
        <v>11156</v>
      </c>
      <c r="F1203">
        <v>4922</v>
      </c>
      <c r="G1203" t="s">
        <v>99</v>
      </c>
      <c r="H1203" t="s">
        <v>16</v>
      </c>
      <c r="I1203" t="s">
        <v>1860</v>
      </c>
      <c r="J1203" t="s">
        <v>1861</v>
      </c>
      <c r="K1203" t="s">
        <v>1809</v>
      </c>
      <c r="L1203" t="str">
        <f>HYPERLINK("https://business-monitor.ch/de/companies/246883-jolanda-realini-wahlen-coaching?utm_source=oberaargau","PROFIL ANSEHEN")</f>
        <v>PROFIL ANSEHEN</v>
      </c>
    </row>
    <row r="1204" spans="1:12" x14ac:dyDescent="0.2">
      <c r="A1204" t="s">
        <v>12810</v>
      </c>
      <c r="B1204" t="s">
        <v>12811</v>
      </c>
      <c r="C1204" t="s">
        <v>1812</v>
      </c>
      <c r="E1204" t="s">
        <v>12812</v>
      </c>
      <c r="F1204">
        <v>4933</v>
      </c>
      <c r="G1204" t="s">
        <v>3812</v>
      </c>
      <c r="H1204" t="s">
        <v>16</v>
      </c>
      <c r="I1204" t="s">
        <v>4940</v>
      </c>
      <c r="J1204" t="s">
        <v>4941</v>
      </c>
      <c r="K1204" t="s">
        <v>1809</v>
      </c>
      <c r="L1204" t="str">
        <f>HYPERLINK("https://business-monitor.ch/de/companies/1217152-sandra-muheim?utm_source=oberaargau","PROFIL ANSEHEN")</f>
        <v>PROFIL ANSEHEN</v>
      </c>
    </row>
    <row r="1205" spans="1:12" x14ac:dyDescent="0.2">
      <c r="A1205" t="s">
        <v>14435</v>
      </c>
      <c r="B1205" t="s">
        <v>14436</v>
      </c>
      <c r="C1205" t="s">
        <v>13</v>
      </c>
      <c r="E1205" t="s">
        <v>12788</v>
      </c>
      <c r="F1205">
        <v>4900</v>
      </c>
      <c r="G1205" t="s">
        <v>41</v>
      </c>
      <c r="H1205" t="s">
        <v>16</v>
      </c>
      <c r="I1205" t="s">
        <v>935</v>
      </c>
      <c r="J1205" t="s">
        <v>936</v>
      </c>
      <c r="K1205" t="s">
        <v>1809</v>
      </c>
      <c r="L1205" t="str">
        <f>HYPERLINK("https://business-monitor.ch/de/companies/1298460-s-a-real-estate-ag?utm_source=oberaargau","PROFIL ANSEHEN")</f>
        <v>PROFIL ANSEHEN</v>
      </c>
    </row>
    <row r="1206" spans="1:12" x14ac:dyDescent="0.2">
      <c r="A1206" t="s">
        <v>4203</v>
      </c>
      <c r="B1206" t="s">
        <v>4204</v>
      </c>
      <c r="C1206" t="s">
        <v>202</v>
      </c>
      <c r="E1206" t="s">
        <v>11715</v>
      </c>
      <c r="F1206">
        <v>4914</v>
      </c>
      <c r="G1206" t="s">
        <v>105</v>
      </c>
      <c r="H1206" t="s">
        <v>16</v>
      </c>
      <c r="I1206" t="s">
        <v>157</v>
      </c>
      <c r="J1206" t="s">
        <v>158</v>
      </c>
      <c r="K1206" t="s">
        <v>1809</v>
      </c>
      <c r="L1206" t="str">
        <f>HYPERLINK("https://business-monitor.ch/de/companies/1003754-convita-immobilien-gmbh?utm_source=oberaargau","PROFIL ANSEHEN")</f>
        <v>PROFIL ANSEHEN</v>
      </c>
    </row>
    <row r="1207" spans="1:12" x14ac:dyDescent="0.2">
      <c r="A1207" t="s">
        <v>12784</v>
      </c>
      <c r="B1207" t="s">
        <v>12785</v>
      </c>
      <c r="C1207" t="s">
        <v>202</v>
      </c>
      <c r="E1207" t="s">
        <v>6928</v>
      </c>
      <c r="F1207">
        <v>4900</v>
      </c>
      <c r="G1207" t="s">
        <v>41</v>
      </c>
      <c r="H1207" t="s">
        <v>16</v>
      </c>
      <c r="I1207" t="s">
        <v>77</v>
      </c>
      <c r="J1207" t="s">
        <v>78</v>
      </c>
      <c r="K1207" t="s">
        <v>1809</v>
      </c>
      <c r="L1207" t="str">
        <f>HYPERLINK("https://business-monitor.ch/de/companies/1221974-kunz-baureal-immo-gmbh?utm_source=oberaargau","PROFIL ANSEHEN")</f>
        <v>PROFIL ANSEHEN</v>
      </c>
    </row>
    <row r="1208" spans="1:12" x14ac:dyDescent="0.2">
      <c r="A1208" t="s">
        <v>3650</v>
      </c>
      <c r="B1208" t="s">
        <v>3651</v>
      </c>
      <c r="C1208" t="s">
        <v>84</v>
      </c>
      <c r="D1208" t="s">
        <v>3652</v>
      </c>
      <c r="E1208" t="s">
        <v>3365</v>
      </c>
      <c r="F1208">
        <v>3360</v>
      </c>
      <c r="G1208" t="s">
        <v>35</v>
      </c>
      <c r="H1208" t="s">
        <v>16</v>
      </c>
      <c r="I1208" t="s">
        <v>906</v>
      </c>
      <c r="J1208" t="s">
        <v>907</v>
      </c>
      <c r="K1208" t="s">
        <v>1809</v>
      </c>
      <c r="L1208" t="str">
        <f>HYPERLINK("https://business-monitor.ch/de/companies/62506-wohnbaugenossenschaft-felderhof-herzogenbuchsee?utm_source=oberaargau","PROFIL ANSEHEN")</f>
        <v>PROFIL ANSEHEN</v>
      </c>
    </row>
    <row r="1209" spans="1:12" x14ac:dyDescent="0.2">
      <c r="A1209" t="s">
        <v>14437</v>
      </c>
      <c r="B1209" t="s">
        <v>14438</v>
      </c>
      <c r="C1209" t="s">
        <v>1812</v>
      </c>
      <c r="E1209" t="s">
        <v>14439</v>
      </c>
      <c r="F1209">
        <v>4934</v>
      </c>
      <c r="G1209" t="s">
        <v>670</v>
      </c>
      <c r="H1209" t="s">
        <v>16</v>
      </c>
      <c r="I1209" t="s">
        <v>1865</v>
      </c>
      <c r="J1209" t="s">
        <v>1866</v>
      </c>
      <c r="K1209" t="s">
        <v>1809</v>
      </c>
      <c r="L1209" t="str">
        <f>HYPERLINK("https://business-monitor.ch/de/companies/1305682-kinzurashvili-all-in-gebaeudeservice?utm_source=oberaargau","PROFIL ANSEHEN")</f>
        <v>PROFIL ANSEHEN</v>
      </c>
    </row>
    <row r="1210" spans="1:12" x14ac:dyDescent="0.2">
      <c r="A1210" t="s">
        <v>14171</v>
      </c>
      <c r="B1210" t="s">
        <v>14172</v>
      </c>
      <c r="C1210" t="s">
        <v>202</v>
      </c>
      <c r="E1210" t="s">
        <v>3043</v>
      </c>
      <c r="F1210">
        <v>3380</v>
      </c>
      <c r="G1210" t="s">
        <v>29</v>
      </c>
      <c r="H1210" t="s">
        <v>16</v>
      </c>
      <c r="I1210" t="s">
        <v>14016</v>
      </c>
      <c r="J1210" t="s">
        <v>14017</v>
      </c>
      <c r="K1210" t="s">
        <v>1809</v>
      </c>
      <c r="L1210" t="str">
        <f>HYPERLINK("https://business-monitor.ch/de/companies/1284683-sra-gastro-gmbh?utm_source=oberaargau","PROFIL ANSEHEN")</f>
        <v>PROFIL ANSEHEN</v>
      </c>
    </row>
    <row r="1211" spans="1:12" x14ac:dyDescent="0.2">
      <c r="A1211" t="s">
        <v>8983</v>
      </c>
      <c r="B1211" t="s">
        <v>8984</v>
      </c>
      <c r="C1211" t="s">
        <v>1922</v>
      </c>
      <c r="D1211" t="s">
        <v>592</v>
      </c>
      <c r="E1211" t="s">
        <v>402</v>
      </c>
      <c r="F1211">
        <v>4900</v>
      </c>
      <c r="G1211" t="s">
        <v>41</v>
      </c>
      <c r="H1211" t="s">
        <v>16</v>
      </c>
      <c r="I1211" t="s">
        <v>2116</v>
      </c>
      <c r="J1211" t="s">
        <v>2117</v>
      </c>
      <c r="K1211" t="s">
        <v>1809</v>
      </c>
      <c r="L1211" t="str">
        <f>HYPERLINK("https://business-monitor.ch/de/companies/251020-personalfuersorgestiftung-der-firma-nencki-ag?utm_source=oberaargau","PROFIL ANSEHEN")</f>
        <v>PROFIL ANSEHEN</v>
      </c>
    </row>
    <row r="1212" spans="1:12" x14ac:dyDescent="0.2">
      <c r="A1212" t="s">
        <v>11626</v>
      </c>
      <c r="B1212" t="s">
        <v>11627</v>
      </c>
      <c r="C1212" t="s">
        <v>1812</v>
      </c>
      <c r="E1212" t="s">
        <v>11628</v>
      </c>
      <c r="F1212">
        <v>4536</v>
      </c>
      <c r="G1212" t="s">
        <v>1395</v>
      </c>
      <c r="H1212" t="s">
        <v>16</v>
      </c>
      <c r="I1212" t="s">
        <v>2365</v>
      </c>
      <c r="J1212" t="s">
        <v>2366</v>
      </c>
      <c r="K1212" t="s">
        <v>1809</v>
      </c>
      <c r="L1212" t="str">
        <f>HYPERLINK("https://business-monitor.ch/de/companies/1152302-christoph-binggeli?utm_source=oberaargau","PROFIL ANSEHEN")</f>
        <v>PROFIL ANSEHEN</v>
      </c>
    </row>
    <row r="1213" spans="1:12" x14ac:dyDescent="0.2">
      <c r="A1213" t="s">
        <v>12487</v>
      </c>
      <c r="B1213" t="s">
        <v>12488</v>
      </c>
      <c r="C1213" t="s">
        <v>202</v>
      </c>
      <c r="E1213" t="s">
        <v>11557</v>
      </c>
      <c r="F1213">
        <v>3360</v>
      </c>
      <c r="G1213" t="s">
        <v>35</v>
      </c>
      <c r="H1213" t="s">
        <v>16</v>
      </c>
      <c r="I1213" t="s">
        <v>72</v>
      </c>
      <c r="J1213" t="s">
        <v>73</v>
      </c>
      <c r="K1213" t="s">
        <v>1809</v>
      </c>
      <c r="L1213" t="str">
        <f>HYPERLINK("https://business-monitor.ch/de/companies/1206016-hs-foodservice-gmbh?utm_source=oberaargau","PROFIL ANSEHEN")</f>
        <v>PROFIL ANSEHEN</v>
      </c>
    </row>
    <row r="1214" spans="1:12" x14ac:dyDescent="0.2">
      <c r="A1214" t="s">
        <v>11904</v>
      </c>
      <c r="B1214" t="s">
        <v>11905</v>
      </c>
      <c r="C1214" t="s">
        <v>13</v>
      </c>
      <c r="D1214" t="s">
        <v>11906</v>
      </c>
      <c r="E1214" t="s">
        <v>9012</v>
      </c>
      <c r="F1214">
        <v>4900</v>
      </c>
      <c r="G1214" t="s">
        <v>41</v>
      </c>
      <c r="H1214" t="s">
        <v>16</v>
      </c>
      <c r="I1214" t="s">
        <v>186</v>
      </c>
      <c r="J1214" t="s">
        <v>187</v>
      </c>
      <c r="K1214" t="s">
        <v>1809</v>
      </c>
      <c r="L1214" t="str">
        <f>HYPERLINK("https://business-monitor.ch/de/companies/1168627-sigiplus-holding-ag?utm_source=oberaargau","PROFIL ANSEHEN")</f>
        <v>PROFIL ANSEHEN</v>
      </c>
    </row>
    <row r="1215" spans="1:12" x14ac:dyDescent="0.2">
      <c r="A1215" t="s">
        <v>6150</v>
      </c>
      <c r="B1215" t="s">
        <v>13988</v>
      </c>
      <c r="C1215" t="s">
        <v>202</v>
      </c>
      <c r="E1215" t="s">
        <v>2066</v>
      </c>
      <c r="F1215">
        <v>4900</v>
      </c>
      <c r="G1215" t="s">
        <v>41</v>
      </c>
      <c r="H1215" t="s">
        <v>16</v>
      </c>
      <c r="I1215" t="s">
        <v>671</v>
      </c>
      <c r="J1215" t="s">
        <v>672</v>
      </c>
      <c r="K1215" t="s">
        <v>1809</v>
      </c>
      <c r="L1215" t="str">
        <f>HYPERLINK("https://business-monitor.ch/de/companies/4833-erbilmed-gmbh?utm_source=oberaargau","PROFIL ANSEHEN")</f>
        <v>PROFIL ANSEHEN</v>
      </c>
    </row>
    <row r="1216" spans="1:12" x14ac:dyDescent="0.2">
      <c r="A1216" t="s">
        <v>14043</v>
      </c>
      <c r="B1216" t="s">
        <v>14044</v>
      </c>
      <c r="C1216" t="s">
        <v>202</v>
      </c>
      <c r="E1216" t="s">
        <v>14045</v>
      </c>
      <c r="F1216">
        <v>4938</v>
      </c>
      <c r="G1216" t="s">
        <v>1909</v>
      </c>
      <c r="H1216" t="s">
        <v>16</v>
      </c>
      <c r="I1216" t="s">
        <v>260</v>
      </c>
      <c r="J1216" t="s">
        <v>261</v>
      </c>
      <c r="K1216" t="s">
        <v>1809</v>
      </c>
      <c r="L1216" t="str">
        <f>HYPERLINK("https://business-monitor.ch/de/companies/1277801-traeptau-gmbh?utm_source=oberaargau","PROFIL ANSEHEN")</f>
        <v>PROFIL ANSEHEN</v>
      </c>
    </row>
    <row r="1217" spans="1:12" x14ac:dyDescent="0.2">
      <c r="A1217" t="s">
        <v>2944</v>
      </c>
      <c r="B1217" t="s">
        <v>2945</v>
      </c>
      <c r="C1217" t="s">
        <v>202</v>
      </c>
      <c r="E1217" t="s">
        <v>2946</v>
      </c>
      <c r="F1217">
        <v>3360</v>
      </c>
      <c r="G1217" t="s">
        <v>35</v>
      </c>
      <c r="H1217" t="s">
        <v>16</v>
      </c>
      <c r="I1217" t="s">
        <v>2226</v>
      </c>
      <c r="J1217" t="s">
        <v>2227</v>
      </c>
      <c r="K1217" t="s">
        <v>1809</v>
      </c>
      <c r="L1217" t="str">
        <f>HYPERLINK("https://business-monitor.ch/de/companies/373993-medimassage-gmbh?utm_source=oberaargau","PROFIL ANSEHEN")</f>
        <v>PROFIL ANSEHEN</v>
      </c>
    </row>
    <row r="1218" spans="1:12" x14ac:dyDescent="0.2">
      <c r="A1218" t="s">
        <v>3842</v>
      </c>
      <c r="B1218" t="s">
        <v>3843</v>
      </c>
      <c r="C1218" t="s">
        <v>202</v>
      </c>
      <c r="E1218" t="s">
        <v>3844</v>
      </c>
      <c r="F1218">
        <v>4900</v>
      </c>
      <c r="G1218" t="s">
        <v>41</v>
      </c>
      <c r="H1218" t="s">
        <v>16</v>
      </c>
      <c r="I1218" t="s">
        <v>1936</v>
      </c>
      <c r="J1218" t="s">
        <v>1937</v>
      </c>
      <c r="K1218" t="s">
        <v>1809</v>
      </c>
      <c r="L1218" t="str">
        <f>HYPERLINK("https://business-monitor.ch/de/companies/685961-arturo-egli-energieloft-gmbh?utm_source=oberaargau","PROFIL ANSEHEN")</f>
        <v>PROFIL ANSEHEN</v>
      </c>
    </row>
    <row r="1219" spans="1:12" x14ac:dyDescent="0.2">
      <c r="A1219" t="s">
        <v>2670</v>
      </c>
      <c r="B1219" t="s">
        <v>6058</v>
      </c>
      <c r="C1219" t="s">
        <v>13</v>
      </c>
      <c r="E1219" t="s">
        <v>6059</v>
      </c>
      <c r="F1219">
        <v>3362</v>
      </c>
      <c r="G1219" t="s">
        <v>47</v>
      </c>
      <c r="H1219" t="s">
        <v>16</v>
      </c>
      <c r="I1219" t="s">
        <v>6060</v>
      </c>
      <c r="J1219" t="s">
        <v>6061</v>
      </c>
      <c r="K1219" t="s">
        <v>1809</v>
      </c>
      <c r="L1219" t="str">
        <f>HYPERLINK("https://business-monitor.ch/de/companies/191715-vermicelles-brand-ag?utm_source=oberaargau","PROFIL ANSEHEN")</f>
        <v>PROFIL ANSEHEN</v>
      </c>
    </row>
    <row r="1220" spans="1:12" x14ac:dyDescent="0.2">
      <c r="A1220" t="s">
        <v>6178</v>
      </c>
      <c r="B1220" t="s">
        <v>6179</v>
      </c>
      <c r="C1220" t="s">
        <v>202</v>
      </c>
      <c r="E1220" t="s">
        <v>6180</v>
      </c>
      <c r="F1220">
        <v>3380</v>
      </c>
      <c r="G1220" t="s">
        <v>29</v>
      </c>
      <c r="H1220" t="s">
        <v>16</v>
      </c>
      <c r="I1220" t="s">
        <v>764</v>
      </c>
      <c r="J1220" t="s">
        <v>765</v>
      </c>
      <c r="K1220" t="s">
        <v>1809</v>
      </c>
      <c r="L1220" t="str">
        <f>HYPERLINK("https://business-monitor.ch/de/companies/382492-luterbacher-gmbh?utm_source=oberaargau","PROFIL ANSEHEN")</f>
        <v>PROFIL ANSEHEN</v>
      </c>
    </row>
    <row r="1221" spans="1:12" x14ac:dyDescent="0.2">
      <c r="A1221" t="s">
        <v>13979</v>
      </c>
      <c r="B1221" t="s">
        <v>13980</v>
      </c>
      <c r="C1221" t="s">
        <v>1812</v>
      </c>
      <c r="E1221" t="s">
        <v>13981</v>
      </c>
      <c r="F1221">
        <v>4932</v>
      </c>
      <c r="G1221" t="s">
        <v>325</v>
      </c>
      <c r="H1221" t="s">
        <v>16</v>
      </c>
      <c r="I1221" t="s">
        <v>420</v>
      </c>
      <c r="J1221" t="s">
        <v>421</v>
      </c>
      <c r="K1221" t="s">
        <v>1809</v>
      </c>
      <c r="L1221" t="str">
        <f>HYPERLINK("https://business-monitor.ch/de/companies/1281131-luxcar-rental-inh-luedi?utm_source=oberaargau","PROFIL ANSEHEN")</f>
        <v>PROFIL ANSEHEN</v>
      </c>
    </row>
    <row r="1222" spans="1:12" x14ac:dyDescent="0.2">
      <c r="A1222" t="s">
        <v>2713</v>
      </c>
      <c r="B1222" t="s">
        <v>2714</v>
      </c>
      <c r="C1222" t="s">
        <v>202</v>
      </c>
      <c r="E1222" t="s">
        <v>2634</v>
      </c>
      <c r="F1222">
        <v>4932</v>
      </c>
      <c r="G1222" t="s">
        <v>325</v>
      </c>
      <c r="H1222" t="s">
        <v>16</v>
      </c>
      <c r="I1222" t="s">
        <v>2715</v>
      </c>
      <c r="J1222" t="s">
        <v>2716</v>
      </c>
      <c r="K1222" t="s">
        <v>1809</v>
      </c>
      <c r="L1222" t="str">
        <f>HYPERLINK("https://business-monitor.ch/de/companies/463888-cor-30-gmbh?utm_source=oberaargau","PROFIL ANSEHEN")</f>
        <v>PROFIL ANSEHEN</v>
      </c>
    </row>
    <row r="1223" spans="1:12" x14ac:dyDescent="0.2">
      <c r="A1223" t="s">
        <v>13081</v>
      </c>
      <c r="B1223" t="s">
        <v>13082</v>
      </c>
      <c r="C1223" t="s">
        <v>202</v>
      </c>
      <c r="E1223" t="s">
        <v>13868</v>
      </c>
      <c r="F1223">
        <v>4914</v>
      </c>
      <c r="G1223" t="s">
        <v>105</v>
      </c>
      <c r="H1223" t="s">
        <v>16</v>
      </c>
      <c r="I1223" t="s">
        <v>4534</v>
      </c>
      <c r="J1223" t="s">
        <v>4535</v>
      </c>
      <c r="K1223" t="s">
        <v>1809</v>
      </c>
      <c r="L1223" t="str">
        <f>HYPERLINK("https://business-monitor.ch/de/companies/1228484-elithal-gmbh?utm_source=oberaargau","PROFIL ANSEHEN")</f>
        <v>PROFIL ANSEHEN</v>
      </c>
    </row>
    <row r="1224" spans="1:12" x14ac:dyDescent="0.2">
      <c r="A1224" t="s">
        <v>13032</v>
      </c>
      <c r="B1224" t="s">
        <v>13033</v>
      </c>
      <c r="C1224" t="s">
        <v>202</v>
      </c>
      <c r="D1224" t="s">
        <v>13034</v>
      </c>
      <c r="E1224" t="s">
        <v>13035</v>
      </c>
      <c r="F1224">
        <v>3376</v>
      </c>
      <c r="G1224" t="s">
        <v>2012</v>
      </c>
      <c r="H1224" t="s">
        <v>16</v>
      </c>
      <c r="I1224" t="s">
        <v>935</v>
      </c>
      <c r="J1224" t="s">
        <v>936</v>
      </c>
      <c r="K1224" t="s">
        <v>1809</v>
      </c>
      <c r="L1224" t="str">
        <f>HYPERLINK("https://business-monitor.ch/de/companies/1241411-c11-gmbh?utm_source=oberaargau","PROFIL ANSEHEN")</f>
        <v>PROFIL ANSEHEN</v>
      </c>
    </row>
    <row r="1225" spans="1:12" x14ac:dyDescent="0.2">
      <c r="A1225" t="s">
        <v>8416</v>
      </c>
      <c r="B1225" t="s">
        <v>8417</v>
      </c>
      <c r="C1225" t="s">
        <v>202</v>
      </c>
      <c r="E1225" t="s">
        <v>8418</v>
      </c>
      <c r="F1225">
        <v>4937</v>
      </c>
      <c r="G1225" t="s">
        <v>951</v>
      </c>
      <c r="H1225" t="s">
        <v>16</v>
      </c>
      <c r="I1225" t="s">
        <v>475</v>
      </c>
      <c r="J1225" t="s">
        <v>476</v>
      </c>
      <c r="K1225" t="s">
        <v>1809</v>
      </c>
      <c r="L1225" t="str">
        <f>HYPERLINK("https://business-monitor.ch/de/companies/523272-leben-mit-technik-elektrobiologie-gmbh?utm_source=oberaargau","PROFIL ANSEHEN")</f>
        <v>PROFIL ANSEHEN</v>
      </c>
    </row>
    <row r="1226" spans="1:12" x14ac:dyDescent="0.2">
      <c r="A1226" t="s">
        <v>4888</v>
      </c>
      <c r="B1226" t="s">
        <v>4889</v>
      </c>
      <c r="C1226" t="s">
        <v>1812</v>
      </c>
      <c r="E1226" t="s">
        <v>4890</v>
      </c>
      <c r="F1226">
        <v>4900</v>
      </c>
      <c r="G1226" t="s">
        <v>41</v>
      </c>
      <c r="H1226" t="s">
        <v>16</v>
      </c>
      <c r="I1226" t="s">
        <v>4105</v>
      </c>
      <c r="J1226" t="s">
        <v>4106</v>
      </c>
      <c r="K1226" t="s">
        <v>1809</v>
      </c>
      <c r="L1226" t="str">
        <f>HYPERLINK("https://business-monitor.ch/de/companies/1095569-kindersprachclub-langenthal-claudia-von-arx?utm_source=oberaargau","PROFIL ANSEHEN")</f>
        <v>PROFIL ANSEHEN</v>
      </c>
    </row>
    <row r="1227" spans="1:12" x14ac:dyDescent="0.2">
      <c r="A1227" t="s">
        <v>4947</v>
      </c>
      <c r="B1227" t="s">
        <v>4948</v>
      </c>
      <c r="C1227" t="s">
        <v>1812</v>
      </c>
      <c r="E1227" t="s">
        <v>3745</v>
      </c>
      <c r="F1227">
        <v>4536</v>
      </c>
      <c r="G1227" t="s">
        <v>1395</v>
      </c>
      <c r="H1227" t="s">
        <v>16</v>
      </c>
      <c r="I1227" t="s">
        <v>824</v>
      </c>
      <c r="J1227" t="s">
        <v>825</v>
      </c>
      <c r="K1227" t="s">
        <v>1809</v>
      </c>
      <c r="L1227" t="str">
        <f>HYPERLINK("https://business-monitor.ch/de/companies/1065992-rest-rebstock-inh-s-aeschlimann?utm_source=oberaargau","PROFIL ANSEHEN")</f>
        <v>PROFIL ANSEHEN</v>
      </c>
    </row>
    <row r="1228" spans="1:12" x14ac:dyDescent="0.2">
      <c r="A1228" t="s">
        <v>11207</v>
      </c>
      <c r="B1228" t="s">
        <v>11208</v>
      </c>
      <c r="C1228" t="s">
        <v>1922</v>
      </c>
      <c r="D1228" t="s">
        <v>5218</v>
      </c>
      <c r="E1228" t="s">
        <v>5219</v>
      </c>
      <c r="F1228">
        <v>4900</v>
      </c>
      <c r="G1228" t="s">
        <v>41</v>
      </c>
      <c r="H1228" t="s">
        <v>16</v>
      </c>
      <c r="I1228" t="s">
        <v>3272</v>
      </c>
      <c r="J1228" t="s">
        <v>3273</v>
      </c>
      <c r="K1228" t="s">
        <v>1809</v>
      </c>
      <c r="L1228" t="str">
        <f>HYPERLINK("https://business-monitor.ch/de/companies/1131563-fondation-rehema?utm_source=oberaargau","PROFIL ANSEHEN")</f>
        <v>PROFIL ANSEHEN</v>
      </c>
    </row>
    <row r="1229" spans="1:12" x14ac:dyDescent="0.2">
      <c r="A1229" t="s">
        <v>10743</v>
      </c>
      <c r="B1229" t="s">
        <v>10744</v>
      </c>
      <c r="C1229" t="s">
        <v>13</v>
      </c>
      <c r="D1229" t="s">
        <v>2125</v>
      </c>
      <c r="E1229" t="s">
        <v>2126</v>
      </c>
      <c r="F1229">
        <v>3475</v>
      </c>
      <c r="G1229" t="s">
        <v>2127</v>
      </c>
      <c r="H1229" t="s">
        <v>16</v>
      </c>
      <c r="I1229" t="s">
        <v>186</v>
      </c>
      <c r="J1229" t="s">
        <v>187</v>
      </c>
      <c r="K1229" t="s">
        <v>1809</v>
      </c>
      <c r="L1229" t="str">
        <f>HYPERLINK("https://business-monitor.ch/de/companies/500953-bih-beteiligungs-und-immobilien-holding-ag?utm_source=oberaargau","PROFIL ANSEHEN")</f>
        <v>PROFIL ANSEHEN</v>
      </c>
    </row>
    <row r="1230" spans="1:12" x14ac:dyDescent="0.2">
      <c r="A1230" t="s">
        <v>11742</v>
      </c>
      <c r="B1230" t="s">
        <v>11743</v>
      </c>
      <c r="C1230" t="s">
        <v>202</v>
      </c>
      <c r="E1230" t="s">
        <v>11744</v>
      </c>
      <c r="F1230">
        <v>3476</v>
      </c>
      <c r="G1230" t="s">
        <v>3506</v>
      </c>
      <c r="H1230" t="s">
        <v>16</v>
      </c>
      <c r="I1230" t="s">
        <v>464</v>
      </c>
      <c r="J1230" t="s">
        <v>465</v>
      </c>
      <c r="K1230" t="s">
        <v>1809</v>
      </c>
      <c r="L1230" t="str">
        <f>HYPERLINK("https://business-monitor.ch/de/companies/1157133-burri-transporte-gmbh?utm_source=oberaargau","PROFIL ANSEHEN")</f>
        <v>PROFIL ANSEHEN</v>
      </c>
    </row>
    <row r="1231" spans="1:12" x14ac:dyDescent="0.2">
      <c r="A1231" t="s">
        <v>6766</v>
      </c>
      <c r="B1231" t="s">
        <v>6767</v>
      </c>
      <c r="C1231" t="s">
        <v>202</v>
      </c>
      <c r="D1231" t="s">
        <v>6768</v>
      </c>
      <c r="E1231" t="s">
        <v>6769</v>
      </c>
      <c r="F1231">
        <v>4912</v>
      </c>
      <c r="G1231" t="s">
        <v>64</v>
      </c>
      <c r="H1231" t="s">
        <v>16</v>
      </c>
      <c r="I1231" t="s">
        <v>4185</v>
      </c>
      <c r="J1231" t="s">
        <v>4186</v>
      </c>
      <c r="K1231" t="s">
        <v>1809</v>
      </c>
      <c r="L1231" t="str">
        <f>HYPERLINK("https://business-monitor.ch/de/companies/114547-emb-emmental-modell-bau-gmbh?utm_source=oberaargau","PROFIL ANSEHEN")</f>
        <v>PROFIL ANSEHEN</v>
      </c>
    </row>
    <row r="1232" spans="1:12" x14ac:dyDescent="0.2">
      <c r="A1232" t="s">
        <v>9451</v>
      </c>
      <c r="B1232" t="s">
        <v>12064</v>
      </c>
      <c r="C1232" t="s">
        <v>13</v>
      </c>
      <c r="E1232" t="s">
        <v>12065</v>
      </c>
      <c r="F1232">
        <v>4913</v>
      </c>
      <c r="G1232" t="s">
        <v>207</v>
      </c>
      <c r="H1232" t="s">
        <v>16</v>
      </c>
      <c r="I1232" t="s">
        <v>935</v>
      </c>
      <c r="J1232" t="s">
        <v>936</v>
      </c>
      <c r="K1232" t="s">
        <v>1809</v>
      </c>
      <c r="L1232" t="str">
        <f>HYPERLINK("https://business-monitor.ch/de/companies/310674-bfbb-ag?utm_source=oberaargau","PROFIL ANSEHEN")</f>
        <v>PROFIL ANSEHEN</v>
      </c>
    </row>
    <row r="1233" spans="1:12" x14ac:dyDescent="0.2">
      <c r="A1233" t="s">
        <v>3976</v>
      </c>
      <c r="B1233" t="s">
        <v>3977</v>
      </c>
      <c r="C1233" t="s">
        <v>13</v>
      </c>
      <c r="E1233" t="s">
        <v>3978</v>
      </c>
      <c r="F1233">
        <v>4536</v>
      </c>
      <c r="G1233" t="s">
        <v>1395</v>
      </c>
      <c r="H1233" t="s">
        <v>16</v>
      </c>
      <c r="I1233" t="s">
        <v>157</v>
      </c>
      <c r="J1233" t="s">
        <v>158</v>
      </c>
      <c r="K1233" t="s">
        <v>1809</v>
      </c>
      <c r="L1233" t="str">
        <f>HYPERLINK("https://business-monitor.ch/de/companies/992154-wegacher-immobilien-ag?utm_source=oberaargau","PROFIL ANSEHEN")</f>
        <v>PROFIL ANSEHEN</v>
      </c>
    </row>
    <row r="1234" spans="1:12" x14ac:dyDescent="0.2">
      <c r="A1234" t="s">
        <v>7894</v>
      </c>
      <c r="B1234" t="s">
        <v>7895</v>
      </c>
      <c r="C1234" t="s">
        <v>13</v>
      </c>
      <c r="E1234" t="s">
        <v>7896</v>
      </c>
      <c r="F1234">
        <v>4932</v>
      </c>
      <c r="G1234" t="s">
        <v>2036</v>
      </c>
      <c r="H1234" t="s">
        <v>16</v>
      </c>
      <c r="I1234" t="s">
        <v>2555</v>
      </c>
      <c r="J1234" t="s">
        <v>2556</v>
      </c>
      <c r="K1234" t="s">
        <v>1809</v>
      </c>
      <c r="L1234" t="str">
        <f>HYPERLINK("https://business-monitor.ch/de/companies/270193-highendstudio-ag?utm_source=oberaargau","PROFIL ANSEHEN")</f>
        <v>PROFIL ANSEHEN</v>
      </c>
    </row>
    <row r="1235" spans="1:12" x14ac:dyDescent="0.2">
      <c r="A1235" t="s">
        <v>2282</v>
      </c>
      <c r="B1235" t="s">
        <v>2283</v>
      </c>
      <c r="C1235" t="s">
        <v>1812</v>
      </c>
      <c r="E1235" t="s">
        <v>2284</v>
      </c>
      <c r="F1235">
        <v>4704</v>
      </c>
      <c r="G1235" t="s">
        <v>221</v>
      </c>
      <c r="H1235" t="s">
        <v>16</v>
      </c>
      <c r="I1235" t="s">
        <v>854</v>
      </c>
      <c r="J1235" t="s">
        <v>855</v>
      </c>
      <c r="K1235" t="s">
        <v>1809</v>
      </c>
      <c r="L1235" t="str">
        <f>HYPERLINK("https://business-monitor.ch/de/companies/287461-muqaj-edv-dienstleistungen?utm_source=oberaargau","PROFIL ANSEHEN")</f>
        <v>PROFIL ANSEHEN</v>
      </c>
    </row>
    <row r="1236" spans="1:12" x14ac:dyDescent="0.2">
      <c r="A1236" t="s">
        <v>11761</v>
      </c>
      <c r="B1236" t="s">
        <v>11762</v>
      </c>
      <c r="C1236" t="s">
        <v>202</v>
      </c>
      <c r="E1236" t="s">
        <v>13735</v>
      </c>
      <c r="F1236">
        <v>4912</v>
      </c>
      <c r="G1236" t="s">
        <v>64</v>
      </c>
      <c r="H1236" t="s">
        <v>16</v>
      </c>
      <c r="I1236" t="s">
        <v>77</v>
      </c>
      <c r="J1236" t="s">
        <v>78</v>
      </c>
      <c r="K1236" t="s">
        <v>1809</v>
      </c>
      <c r="L1236" t="str">
        <f>HYPERLINK("https://business-monitor.ch/de/companies/1156980-plan-s-planung-architektur-gmbh?utm_source=oberaargau","PROFIL ANSEHEN")</f>
        <v>PROFIL ANSEHEN</v>
      </c>
    </row>
    <row r="1237" spans="1:12" x14ac:dyDescent="0.2">
      <c r="A1237" t="s">
        <v>8495</v>
      </c>
      <c r="B1237" t="s">
        <v>8496</v>
      </c>
      <c r="C1237" t="s">
        <v>202</v>
      </c>
      <c r="E1237" t="s">
        <v>893</v>
      </c>
      <c r="F1237">
        <v>3374</v>
      </c>
      <c r="G1237" t="s">
        <v>894</v>
      </c>
      <c r="H1237" t="s">
        <v>16</v>
      </c>
      <c r="I1237" t="s">
        <v>232</v>
      </c>
      <c r="J1237" t="s">
        <v>233</v>
      </c>
      <c r="K1237" t="s">
        <v>1809</v>
      </c>
      <c r="L1237" t="str">
        <f>HYPERLINK("https://business-monitor.ch/de/companies/510373-any-beratungen-gmbh?utm_source=oberaargau","PROFIL ANSEHEN")</f>
        <v>PROFIL ANSEHEN</v>
      </c>
    </row>
    <row r="1238" spans="1:12" x14ac:dyDescent="0.2">
      <c r="A1238" t="s">
        <v>13744</v>
      </c>
      <c r="B1238" t="s">
        <v>13745</v>
      </c>
      <c r="C1238" t="s">
        <v>202</v>
      </c>
      <c r="E1238" t="s">
        <v>2639</v>
      </c>
      <c r="F1238">
        <v>4900</v>
      </c>
      <c r="G1238" t="s">
        <v>41</v>
      </c>
      <c r="H1238" t="s">
        <v>16</v>
      </c>
      <c r="I1238" t="s">
        <v>1970</v>
      </c>
      <c r="J1238" t="s">
        <v>1971</v>
      </c>
      <c r="K1238" t="s">
        <v>1809</v>
      </c>
      <c r="L1238" t="str">
        <f>HYPERLINK("https://business-monitor.ch/de/companies/541457-healthmg-gmbh?utm_source=oberaargau","PROFIL ANSEHEN")</f>
        <v>PROFIL ANSEHEN</v>
      </c>
    </row>
    <row r="1239" spans="1:12" x14ac:dyDescent="0.2">
      <c r="A1239" t="s">
        <v>10245</v>
      </c>
      <c r="B1239" t="s">
        <v>10246</v>
      </c>
      <c r="C1239" t="s">
        <v>202</v>
      </c>
      <c r="E1239" t="s">
        <v>10247</v>
      </c>
      <c r="F1239">
        <v>4913</v>
      </c>
      <c r="G1239" t="s">
        <v>207</v>
      </c>
      <c r="H1239" t="s">
        <v>16</v>
      </c>
      <c r="I1239" t="s">
        <v>1053</v>
      </c>
      <c r="J1239" t="s">
        <v>1054</v>
      </c>
      <c r="K1239" t="s">
        <v>1809</v>
      </c>
      <c r="L1239" t="str">
        <f>HYPERLINK("https://business-monitor.ch/de/companies/600127-plan-line-gmbh?utm_source=oberaargau","PROFIL ANSEHEN")</f>
        <v>PROFIL ANSEHEN</v>
      </c>
    </row>
    <row r="1240" spans="1:12" x14ac:dyDescent="0.2">
      <c r="A1240" t="s">
        <v>6064</v>
      </c>
      <c r="B1240" t="s">
        <v>6065</v>
      </c>
      <c r="C1240" t="s">
        <v>202</v>
      </c>
      <c r="E1240" t="s">
        <v>1547</v>
      </c>
      <c r="F1240">
        <v>4900</v>
      </c>
      <c r="G1240" t="s">
        <v>41</v>
      </c>
      <c r="H1240" t="s">
        <v>16</v>
      </c>
      <c r="I1240" t="s">
        <v>748</v>
      </c>
      <c r="J1240" t="s">
        <v>749</v>
      </c>
      <c r="K1240" t="s">
        <v>1809</v>
      </c>
      <c r="L1240" t="str">
        <f>HYPERLINK("https://business-monitor.ch/de/companies/569525-g-d-gips-und-design-gmbh?utm_source=oberaargau","PROFIL ANSEHEN")</f>
        <v>PROFIL ANSEHEN</v>
      </c>
    </row>
    <row r="1241" spans="1:12" x14ac:dyDescent="0.2">
      <c r="A1241" t="s">
        <v>9376</v>
      </c>
      <c r="B1241" t="s">
        <v>9377</v>
      </c>
      <c r="C1241" t="s">
        <v>13</v>
      </c>
      <c r="E1241" t="s">
        <v>10750</v>
      </c>
      <c r="F1241">
        <v>4912</v>
      </c>
      <c r="G1241" t="s">
        <v>64</v>
      </c>
      <c r="H1241" t="s">
        <v>16</v>
      </c>
      <c r="I1241" t="s">
        <v>486</v>
      </c>
      <c r="J1241" t="s">
        <v>487</v>
      </c>
      <c r="K1241" t="s">
        <v>1809</v>
      </c>
      <c r="L1241" t="str">
        <f>HYPERLINK("https://business-monitor.ch/de/companies/65984-bieler-metallbau-ag?utm_source=oberaargau","PROFIL ANSEHEN")</f>
        <v>PROFIL ANSEHEN</v>
      </c>
    </row>
    <row r="1242" spans="1:12" x14ac:dyDescent="0.2">
      <c r="A1242" t="s">
        <v>3466</v>
      </c>
      <c r="B1242" t="s">
        <v>3467</v>
      </c>
      <c r="C1242" t="s">
        <v>13</v>
      </c>
      <c r="E1242" t="s">
        <v>3468</v>
      </c>
      <c r="F1242">
        <v>4900</v>
      </c>
      <c r="G1242" t="s">
        <v>41</v>
      </c>
      <c r="H1242" t="s">
        <v>16</v>
      </c>
      <c r="I1242" t="s">
        <v>1865</v>
      </c>
      <c r="J1242" t="s">
        <v>1866</v>
      </c>
      <c r="K1242" t="s">
        <v>1809</v>
      </c>
      <c r="L1242" t="str">
        <f>HYPERLINK("https://business-monitor.ch/de/companies/170944-wahl-ag?utm_source=oberaargau","PROFIL ANSEHEN")</f>
        <v>PROFIL ANSEHEN</v>
      </c>
    </row>
    <row r="1243" spans="1:12" x14ac:dyDescent="0.2">
      <c r="A1243" t="s">
        <v>9514</v>
      </c>
      <c r="B1243" t="s">
        <v>9515</v>
      </c>
      <c r="C1243" t="s">
        <v>1812</v>
      </c>
      <c r="E1243" t="s">
        <v>9516</v>
      </c>
      <c r="F1243">
        <v>4913</v>
      </c>
      <c r="G1243" t="s">
        <v>207</v>
      </c>
      <c r="H1243" t="s">
        <v>16</v>
      </c>
      <c r="I1243" t="s">
        <v>551</v>
      </c>
      <c r="J1243" t="s">
        <v>552</v>
      </c>
      <c r="K1243" t="s">
        <v>1809</v>
      </c>
      <c r="L1243" t="str">
        <f>HYPERLINK("https://business-monitor.ch/de/companies/687768-pfister-consulting?utm_source=oberaargau","PROFIL ANSEHEN")</f>
        <v>PROFIL ANSEHEN</v>
      </c>
    </row>
    <row r="1244" spans="1:12" x14ac:dyDescent="0.2">
      <c r="A1244" t="s">
        <v>3065</v>
      </c>
      <c r="B1244" t="s">
        <v>3066</v>
      </c>
      <c r="C1244" t="s">
        <v>202</v>
      </c>
      <c r="E1244" t="s">
        <v>3067</v>
      </c>
      <c r="F1244">
        <v>4900</v>
      </c>
      <c r="G1244" t="s">
        <v>41</v>
      </c>
      <c r="H1244" t="s">
        <v>16</v>
      </c>
      <c r="I1244" t="s">
        <v>3068</v>
      </c>
      <c r="J1244" t="s">
        <v>3069</v>
      </c>
      <c r="K1244" t="s">
        <v>1809</v>
      </c>
      <c r="L1244" t="str">
        <f>HYPERLINK("https://business-monitor.ch/de/companies/342651-biodiversia-gmbh?utm_source=oberaargau","PROFIL ANSEHEN")</f>
        <v>PROFIL ANSEHEN</v>
      </c>
    </row>
    <row r="1245" spans="1:12" x14ac:dyDescent="0.2">
      <c r="A1245" t="s">
        <v>4179</v>
      </c>
      <c r="B1245" t="s">
        <v>4180</v>
      </c>
      <c r="C1245" t="s">
        <v>1812</v>
      </c>
      <c r="E1245" t="s">
        <v>4181</v>
      </c>
      <c r="F1245">
        <v>4922</v>
      </c>
      <c r="G1245" t="s">
        <v>1318</v>
      </c>
      <c r="H1245" t="s">
        <v>16</v>
      </c>
      <c r="I1245" t="s">
        <v>3201</v>
      </c>
      <c r="J1245" t="s">
        <v>3202</v>
      </c>
      <c r="K1245" t="s">
        <v>1809</v>
      </c>
      <c r="L1245" t="str">
        <f>HYPERLINK("https://business-monitor.ch/de/companies/1010343-roth-waffen?utm_source=oberaargau","PROFIL ANSEHEN")</f>
        <v>PROFIL ANSEHEN</v>
      </c>
    </row>
    <row r="1246" spans="1:12" x14ac:dyDescent="0.2">
      <c r="A1246" t="s">
        <v>5769</v>
      </c>
      <c r="B1246" t="s">
        <v>5770</v>
      </c>
      <c r="C1246" t="s">
        <v>1812</v>
      </c>
      <c r="E1246" t="s">
        <v>5771</v>
      </c>
      <c r="F1246">
        <v>4914</v>
      </c>
      <c r="G1246" t="s">
        <v>105</v>
      </c>
      <c r="H1246" t="s">
        <v>16</v>
      </c>
      <c r="I1246" t="s">
        <v>5696</v>
      </c>
      <c r="J1246" t="s">
        <v>5697</v>
      </c>
      <c r="K1246" t="s">
        <v>1809</v>
      </c>
      <c r="L1246" t="str">
        <f>HYPERLINK("https://business-monitor.ch/de/companies/516330-jordi-johanna-margaretha?utm_source=oberaargau","PROFIL ANSEHEN")</f>
        <v>PROFIL ANSEHEN</v>
      </c>
    </row>
    <row r="1247" spans="1:12" x14ac:dyDescent="0.2">
      <c r="A1247" t="s">
        <v>13014</v>
      </c>
      <c r="B1247" t="s">
        <v>13015</v>
      </c>
      <c r="C1247" t="s">
        <v>1812</v>
      </c>
      <c r="E1247" t="s">
        <v>13016</v>
      </c>
      <c r="F1247">
        <v>3376</v>
      </c>
      <c r="G1247" t="s">
        <v>2012</v>
      </c>
      <c r="H1247" t="s">
        <v>16</v>
      </c>
      <c r="I1247" t="s">
        <v>1865</v>
      </c>
      <c r="J1247" t="s">
        <v>1866</v>
      </c>
      <c r="K1247" t="s">
        <v>1809</v>
      </c>
      <c r="L1247" t="str">
        <f>HYPERLINK("https://business-monitor.ch/de/companies/1007952-salu-reinigung-inh-perez-mendez?utm_source=oberaargau","PROFIL ANSEHEN")</f>
        <v>PROFIL ANSEHEN</v>
      </c>
    </row>
    <row r="1248" spans="1:12" x14ac:dyDescent="0.2">
      <c r="A1248" t="s">
        <v>7147</v>
      </c>
      <c r="B1248" t="s">
        <v>7148</v>
      </c>
      <c r="C1248" t="s">
        <v>13</v>
      </c>
      <c r="E1248" t="s">
        <v>473</v>
      </c>
      <c r="F1248">
        <v>4900</v>
      </c>
      <c r="G1248" t="s">
        <v>41</v>
      </c>
      <c r="H1248" t="s">
        <v>16</v>
      </c>
      <c r="I1248" t="s">
        <v>186</v>
      </c>
      <c r="J1248" t="s">
        <v>187</v>
      </c>
      <c r="K1248" t="s">
        <v>1809</v>
      </c>
      <c r="L1248" t="str">
        <f>HYPERLINK("https://business-monitor.ch/de/companies/571939-jbw-beteiligungen-ag?utm_source=oberaargau","PROFIL ANSEHEN")</f>
        <v>PROFIL ANSEHEN</v>
      </c>
    </row>
    <row r="1249" spans="1:12" x14ac:dyDescent="0.2">
      <c r="A1249" t="s">
        <v>9466</v>
      </c>
      <c r="B1249" t="s">
        <v>9467</v>
      </c>
      <c r="C1249" t="s">
        <v>13</v>
      </c>
      <c r="E1249" t="s">
        <v>1357</v>
      </c>
      <c r="F1249">
        <v>4900</v>
      </c>
      <c r="G1249" t="s">
        <v>41</v>
      </c>
      <c r="H1249" t="s">
        <v>16</v>
      </c>
      <c r="I1249" t="s">
        <v>157</v>
      </c>
      <c r="J1249" t="s">
        <v>158</v>
      </c>
      <c r="K1249" t="s">
        <v>1809</v>
      </c>
      <c r="L1249" t="str">
        <f>HYPERLINK("https://business-monitor.ch/de/companies/10697-grevag-immobilien-ag?utm_source=oberaargau","PROFIL ANSEHEN")</f>
        <v>PROFIL ANSEHEN</v>
      </c>
    </row>
    <row r="1250" spans="1:12" x14ac:dyDescent="0.2">
      <c r="A1250" t="s">
        <v>9264</v>
      </c>
      <c r="B1250" t="s">
        <v>9265</v>
      </c>
      <c r="C1250" t="s">
        <v>1812</v>
      </c>
      <c r="E1250" t="s">
        <v>9266</v>
      </c>
      <c r="F1250">
        <v>4900</v>
      </c>
      <c r="G1250" t="s">
        <v>41</v>
      </c>
      <c r="H1250" t="s">
        <v>16</v>
      </c>
      <c r="I1250" t="s">
        <v>2522</v>
      </c>
      <c r="J1250" t="s">
        <v>2523</v>
      </c>
      <c r="K1250" t="s">
        <v>1809</v>
      </c>
      <c r="L1250" t="str">
        <f>HYPERLINK("https://business-monitor.ch/de/companies/112159-am-auto-moto-occasion-kunz?utm_source=oberaargau","PROFIL ANSEHEN")</f>
        <v>PROFIL ANSEHEN</v>
      </c>
    </row>
    <row r="1251" spans="1:12" x14ac:dyDescent="0.2">
      <c r="A1251" t="s">
        <v>3109</v>
      </c>
      <c r="B1251" t="s">
        <v>3110</v>
      </c>
      <c r="C1251" t="s">
        <v>202</v>
      </c>
      <c r="E1251" t="s">
        <v>3111</v>
      </c>
      <c r="F1251">
        <v>4537</v>
      </c>
      <c r="G1251" t="s">
        <v>113</v>
      </c>
      <c r="H1251" t="s">
        <v>16</v>
      </c>
      <c r="I1251" t="s">
        <v>134</v>
      </c>
      <c r="J1251" t="s">
        <v>135</v>
      </c>
      <c r="K1251" t="s">
        <v>1809</v>
      </c>
      <c r="L1251" t="str">
        <f>HYPERLINK("https://business-monitor.ch/de/companies/633957-elektro-emme-gmbh?utm_source=oberaargau","PROFIL ANSEHEN")</f>
        <v>PROFIL ANSEHEN</v>
      </c>
    </row>
    <row r="1252" spans="1:12" x14ac:dyDescent="0.2">
      <c r="A1252" t="s">
        <v>10730</v>
      </c>
      <c r="B1252" t="s">
        <v>10731</v>
      </c>
      <c r="C1252" t="s">
        <v>202</v>
      </c>
      <c r="E1252" t="s">
        <v>14176</v>
      </c>
      <c r="F1252">
        <v>4912</v>
      </c>
      <c r="G1252" t="s">
        <v>64</v>
      </c>
      <c r="H1252" t="s">
        <v>16</v>
      </c>
      <c r="I1252" t="s">
        <v>77</v>
      </c>
      <c r="J1252" t="s">
        <v>78</v>
      </c>
      <c r="K1252" t="s">
        <v>1809</v>
      </c>
      <c r="L1252" t="str">
        <f>HYPERLINK("https://business-monitor.ch/de/companies/1098972-bero-co-gmbh?utm_source=oberaargau","PROFIL ANSEHEN")</f>
        <v>PROFIL ANSEHEN</v>
      </c>
    </row>
    <row r="1253" spans="1:12" x14ac:dyDescent="0.2">
      <c r="A1253" t="s">
        <v>9433</v>
      </c>
      <c r="B1253" t="s">
        <v>9434</v>
      </c>
      <c r="C1253" t="s">
        <v>1922</v>
      </c>
      <c r="E1253" t="s">
        <v>9435</v>
      </c>
      <c r="F1253">
        <v>4900</v>
      </c>
      <c r="G1253" t="s">
        <v>41</v>
      </c>
      <c r="H1253" t="s">
        <v>16</v>
      </c>
      <c r="I1253" t="s">
        <v>3024</v>
      </c>
      <c r="J1253" t="s">
        <v>3025</v>
      </c>
      <c r="K1253" t="s">
        <v>1809</v>
      </c>
      <c r="L1253" t="str">
        <f>HYPERLINK("https://business-monitor.ch/de/companies/9658-museum-langenthal?utm_source=oberaargau","PROFIL ANSEHEN")</f>
        <v>PROFIL ANSEHEN</v>
      </c>
    </row>
    <row r="1254" spans="1:12" x14ac:dyDescent="0.2">
      <c r="A1254" t="s">
        <v>14440</v>
      </c>
      <c r="B1254" t="s">
        <v>14441</v>
      </c>
      <c r="C1254" t="s">
        <v>13</v>
      </c>
      <c r="E1254" t="s">
        <v>9513</v>
      </c>
      <c r="F1254">
        <v>4917</v>
      </c>
      <c r="G1254" t="s">
        <v>376</v>
      </c>
      <c r="H1254" t="s">
        <v>16</v>
      </c>
      <c r="I1254" t="s">
        <v>2591</v>
      </c>
      <c r="J1254" t="s">
        <v>2592</v>
      </c>
      <c r="K1254" t="s">
        <v>1809</v>
      </c>
      <c r="L1254" t="str">
        <f>HYPERLINK("https://business-monitor.ch/de/companies/1296698-schaerme-melchnau-ag?utm_source=oberaargau","PROFIL ANSEHEN")</f>
        <v>PROFIL ANSEHEN</v>
      </c>
    </row>
    <row r="1255" spans="1:12" x14ac:dyDescent="0.2">
      <c r="A1255" t="s">
        <v>6648</v>
      </c>
      <c r="B1255" t="s">
        <v>6649</v>
      </c>
      <c r="C1255" t="s">
        <v>13</v>
      </c>
      <c r="E1255" t="s">
        <v>6650</v>
      </c>
      <c r="F1255">
        <v>4943</v>
      </c>
      <c r="G1255" t="s">
        <v>1022</v>
      </c>
      <c r="H1255" t="s">
        <v>16</v>
      </c>
      <c r="I1255" t="s">
        <v>642</v>
      </c>
      <c r="J1255" t="s">
        <v>643</v>
      </c>
      <c r="K1255" t="s">
        <v>1809</v>
      </c>
      <c r="L1255" t="str">
        <f>HYPERLINK("https://business-monitor.ch/de/companies/180195-herrmann-und-zulliger-ag?utm_source=oberaargau","PROFIL ANSEHEN")</f>
        <v>PROFIL ANSEHEN</v>
      </c>
    </row>
    <row r="1256" spans="1:12" x14ac:dyDescent="0.2">
      <c r="A1256" t="s">
        <v>5119</v>
      </c>
      <c r="B1256" t="s">
        <v>5120</v>
      </c>
      <c r="C1256" t="s">
        <v>1812</v>
      </c>
      <c r="E1256" t="s">
        <v>3428</v>
      </c>
      <c r="F1256">
        <v>4923</v>
      </c>
      <c r="G1256" t="s">
        <v>732</v>
      </c>
      <c r="H1256" t="s">
        <v>16</v>
      </c>
      <c r="I1256" t="s">
        <v>4569</v>
      </c>
      <c r="J1256" t="s">
        <v>4570</v>
      </c>
      <c r="K1256" t="s">
        <v>1809</v>
      </c>
      <c r="L1256" t="str">
        <f>HYPERLINK("https://business-monitor.ch/de/companies/9680-guentensperger?utm_source=oberaargau","PROFIL ANSEHEN")</f>
        <v>PROFIL ANSEHEN</v>
      </c>
    </row>
    <row r="1257" spans="1:12" x14ac:dyDescent="0.2">
      <c r="A1257" t="s">
        <v>3999</v>
      </c>
      <c r="B1257" t="s">
        <v>4000</v>
      </c>
      <c r="C1257" t="s">
        <v>202</v>
      </c>
      <c r="E1257" t="s">
        <v>5913</v>
      </c>
      <c r="F1257">
        <v>4900</v>
      </c>
      <c r="G1257" t="s">
        <v>41</v>
      </c>
      <c r="H1257" t="s">
        <v>16</v>
      </c>
      <c r="I1257" t="s">
        <v>551</v>
      </c>
      <c r="J1257" t="s">
        <v>552</v>
      </c>
      <c r="K1257" t="s">
        <v>1809</v>
      </c>
      <c r="L1257" t="str">
        <f>HYPERLINK("https://business-monitor.ch/de/companies/689284-leisercons-gmbh?utm_source=oberaargau","PROFIL ANSEHEN")</f>
        <v>PROFIL ANSEHEN</v>
      </c>
    </row>
    <row r="1258" spans="1:12" x14ac:dyDescent="0.2">
      <c r="A1258" t="s">
        <v>8038</v>
      </c>
      <c r="B1258" t="s">
        <v>10776</v>
      </c>
      <c r="C1258" t="s">
        <v>202</v>
      </c>
      <c r="E1258" t="s">
        <v>13837</v>
      </c>
      <c r="F1258">
        <v>3373</v>
      </c>
      <c r="G1258" t="s">
        <v>2429</v>
      </c>
      <c r="H1258" t="s">
        <v>16</v>
      </c>
      <c r="I1258" t="s">
        <v>748</v>
      </c>
      <c r="J1258" t="s">
        <v>749</v>
      </c>
      <c r="K1258" t="s">
        <v>1809</v>
      </c>
      <c r="L1258" t="str">
        <f>HYPERLINK("https://business-monitor.ch/de/companies/410901-gimabau-gmbh?utm_source=oberaargau","PROFIL ANSEHEN")</f>
        <v>PROFIL ANSEHEN</v>
      </c>
    </row>
    <row r="1259" spans="1:12" x14ac:dyDescent="0.2">
      <c r="A1259" t="s">
        <v>10818</v>
      </c>
      <c r="B1259" t="s">
        <v>10819</v>
      </c>
      <c r="C1259" t="s">
        <v>1812</v>
      </c>
      <c r="E1259" t="s">
        <v>10820</v>
      </c>
      <c r="F1259">
        <v>3376</v>
      </c>
      <c r="G1259" t="s">
        <v>2012</v>
      </c>
      <c r="H1259" t="s">
        <v>16</v>
      </c>
      <c r="I1259" t="s">
        <v>824</v>
      </c>
      <c r="J1259" t="s">
        <v>825</v>
      </c>
      <c r="K1259" t="s">
        <v>1809</v>
      </c>
      <c r="L1259" t="str">
        <f>HYPERLINK("https://business-monitor.ch/de/companies/1104447-tay-kocht-inh-praiwan-daetwyler?utm_source=oberaargau","PROFIL ANSEHEN")</f>
        <v>PROFIL ANSEHEN</v>
      </c>
    </row>
    <row r="1260" spans="1:12" x14ac:dyDescent="0.2">
      <c r="A1260" t="s">
        <v>12583</v>
      </c>
      <c r="B1260" t="s">
        <v>12584</v>
      </c>
      <c r="C1260" t="s">
        <v>202</v>
      </c>
      <c r="E1260" t="s">
        <v>9435</v>
      </c>
      <c r="F1260">
        <v>4914</v>
      </c>
      <c r="G1260" t="s">
        <v>105</v>
      </c>
      <c r="H1260" t="s">
        <v>16</v>
      </c>
      <c r="I1260" t="s">
        <v>2226</v>
      </c>
      <c r="J1260" t="s">
        <v>2227</v>
      </c>
      <c r="K1260" t="s">
        <v>1809</v>
      </c>
      <c r="L1260" t="str">
        <f>HYPERLINK("https://business-monitor.ch/de/companies/1169421-ardeso-gmbh?utm_source=oberaargau","PROFIL ANSEHEN")</f>
        <v>PROFIL ANSEHEN</v>
      </c>
    </row>
    <row r="1261" spans="1:12" x14ac:dyDescent="0.2">
      <c r="A1261" t="s">
        <v>4846</v>
      </c>
      <c r="B1261" t="s">
        <v>4847</v>
      </c>
      <c r="C1261" t="s">
        <v>1812</v>
      </c>
      <c r="E1261" t="s">
        <v>4848</v>
      </c>
      <c r="F1261">
        <v>4937</v>
      </c>
      <c r="G1261" t="s">
        <v>951</v>
      </c>
      <c r="H1261" t="s">
        <v>16</v>
      </c>
      <c r="I1261" t="s">
        <v>1852</v>
      </c>
      <c r="J1261" t="s">
        <v>1853</v>
      </c>
      <c r="K1261" t="s">
        <v>1809</v>
      </c>
      <c r="L1261" t="str">
        <f>HYPERLINK("https://business-monitor.ch/de/companies/540181-events-renovationen-tran?utm_source=oberaargau","PROFIL ANSEHEN")</f>
        <v>PROFIL ANSEHEN</v>
      </c>
    </row>
    <row r="1262" spans="1:12" x14ac:dyDescent="0.2">
      <c r="A1262" t="s">
        <v>6821</v>
      </c>
      <c r="B1262" t="s">
        <v>6822</v>
      </c>
      <c r="C1262" t="s">
        <v>13</v>
      </c>
      <c r="E1262" t="s">
        <v>4358</v>
      </c>
      <c r="F1262">
        <v>3360</v>
      </c>
      <c r="G1262" t="s">
        <v>35</v>
      </c>
      <c r="H1262" t="s">
        <v>16</v>
      </c>
      <c r="I1262" t="s">
        <v>2655</v>
      </c>
      <c r="J1262" t="s">
        <v>2656</v>
      </c>
      <c r="K1262" t="s">
        <v>1809</v>
      </c>
      <c r="L1262" t="str">
        <f>HYPERLINK("https://business-monitor.ch/de/companies/72303-h-siegenthaler-ag?utm_source=oberaargau","PROFIL ANSEHEN")</f>
        <v>PROFIL ANSEHEN</v>
      </c>
    </row>
    <row r="1263" spans="1:12" x14ac:dyDescent="0.2">
      <c r="A1263" t="s">
        <v>9267</v>
      </c>
      <c r="B1263" t="s">
        <v>9268</v>
      </c>
      <c r="C1263" t="s">
        <v>202</v>
      </c>
      <c r="E1263" t="s">
        <v>9269</v>
      </c>
      <c r="F1263">
        <v>4954</v>
      </c>
      <c r="G1263" t="s">
        <v>359</v>
      </c>
      <c r="H1263" t="s">
        <v>16</v>
      </c>
      <c r="I1263" t="s">
        <v>642</v>
      </c>
      <c r="J1263" t="s">
        <v>643</v>
      </c>
      <c r="K1263" t="s">
        <v>1809</v>
      </c>
      <c r="L1263" t="str">
        <f>HYPERLINK("https://business-monitor.ch/de/companies/110928-dorfgarage-heiniger-gmbh?utm_source=oberaargau","PROFIL ANSEHEN")</f>
        <v>PROFIL ANSEHEN</v>
      </c>
    </row>
    <row r="1264" spans="1:12" x14ac:dyDescent="0.2">
      <c r="A1264" t="s">
        <v>5704</v>
      </c>
      <c r="B1264" t="s">
        <v>5705</v>
      </c>
      <c r="C1264" t="s">
        <v>13</v>
      </c>
      <c r="E1264" t="s">
        <v>5701</v>
      </c>
      <c r="F1264">
        <v>4911</v>
      </c>
      <c r="G1264" t="s">
        <v>1005</v>
      </c>
      <c r="H1264" t="s">
        <v>16</v>
      </c>
      <c r="I1264" t="s">
        <v>1140</v>
      </c>
      <c r="J1264" t="s">
        <v>1141</v>
      </c>
      <c r="K1264" t="s">
        <v>1809</v>
      </c>
      <c r="L1264" t="str">
        <f>HYPERLINK("https://business-monitor.ch/de/companies/119611-swissdis-ag?utm_source=oberaargau","PROFIL ANSEHEN")</f>
        <v>PROFIL ANSEHEN</v>
      </c>
    </row>
    <row r="1265" spans="1:12" x14ac:dyDescent="0.2">
      <c r="A1265" t="s">
        <v>14266</v>
      </c>
      <c r="B1265" t="s">
        <v>14267</v>
      </c>
      <c r="C1265" t="s">
        <v>1812</v>
      </c>
      <c r="E1265" t="s">
        <v>14268</v>
      </c>
      <c r="F1265">
        <v>3380</v>
      </c>
      <c r="G1265" t="s">
        <v>29</v>
      </c>
      <c r="H1265" t="s">
        <v>16</v>
      </c>
      <c r="I1265" t="s">
        <v>596</v>
      </c>
      <c r="J1265" t="s">
        <v>597</v>
      </c>
      <c r="K1265" t="s">
        <v>1809</v>
      </c>
      <c r="L1265" t="str">
        <f>HYPERLINK("https://business-monitor.ch/de/companies/1282648-vino-kisa-inh-kebel?utm_source=oberaargau","PROFIL ANSEHEN")</f>
        <v>PROFIL ANSEHEN</v>
      </c>
    </row>
    <row r="1266" spans="1:12" x14ac:dyDescent="0.2">
      <c r="A1266" t="s">
        <v>12490</v>
      </c>
      <c r="B1266" t="s">
        <v>12491</v>
      </c>
      <c r="C1266" t="s">
        <v>1812</v>
      </c>
      <c r="E1266" t="s">
        <v>12492</v>
      </c>
      <c r="F1266">
        <v>4704</v>
      </c>
      <c r="G1266" t="s">
        <v>221</v>
      </c>
      <c r="H1266" t="s">
        <v>16</v>
      </c>
      <c r="I1266" t="s">
        <v>2825</v>
      </c>
      <c r="J1266" t="s">
        <v>2826</v>
      </c>
      <c r="K1266" t="s">
        <v>1809</v>
      </c>
      <c r="L1266" t="str">
        <f>HYPERLINK("https://business-monitor.ch/de/companies/1213103-blommers-design?utm_source=oberaargau","PROFIL ANSEHEN")</f>
        <v>PROFIL ANSEHEN</v>
      </c>
    </row>
    <row r="1267" spans="1:12" x14ac:dyDescent="0.2">
      <c r="A1267" t="s">
        <v>6772</v>
      </c>
      <c r="B1267" t="s">
        <v>6773</v>
      </c>
      <c r="C1267" t="s">
        <v>202</v>
      </c>
      <c r="E1267" t="s">
        <v>6774</v>
      </c>
      <c r="F1267">
        <v>3362</v>
      </c>
      <c r="G1267" t="s">
        <v>47</v>
      </c>
      <c r="H1267" t="s">
        <v>16</v>
      </c>
      <c r="I1267" t="s">
        <v>845</v>
      </c>
      <c r="J1267" t="s">
        <v>846</v>
      </c>
      <c r="K1267" t="s">
        <v>1809</v>
      </c>
      <c r="L1267" t="str">
        <f>HYPERLINK("https://business-monitor.ch/de/companies/109294-passucci-bau-gmbh?utm_source=oberaargau","PROFIL ANSEHEN")</f>
        <v>PROFIL ANSEHEN</v>
      </c>
    </row>
    <row r="1268" spans="1:12" x14ac:dyDescent="0.2">
      <c r="A1268" t="s">
        <v>1480</v>
      </c>
      <c r="B1268" t="s">
        <v>1481</v>
      </c>
      <c r="C1268" t="s">
        <v>13</v>
      </c>
      <c r="E1268" t="s">
        <v>1146</v>
      </c>
      <c r="F1268">
        <v>3360</v>
      </c>
      <c r="G1268" t="s">
        <v>35</v>
      </c>
      <c r="H1268" t="s">
        <v>16</v>
      </c>
      <c r="I1268" t="s">
        <v>854</v>
      </c>
      <c r="J1268" t="s">
        <v>855</v>
      </c>
      <c r="K1268" t="s">
        <v>1809</v>
      </c>
      <c r="L1268" t="str">
        <f>HYPERLINK("https://business-monitor.ch/de/companies/997977-webpresso-ag?utm_source=oberaargau","PROFIL ANSEHEN")</f>
        <v>PROFIL ANSEHEN</v>
      </c>
    </row>
    <row r="1269" spans="1:12" x14ac:dyDescent="0.2">
      <c r="A1269" t="s">
        <v>14056</v>
      </c>
      <c r="B1269" t="s">
        <v>14057</v>
      </c>
      <c r="C1269" t="s">
        <v>202</v>
      </c>
      <c r="E1269" t="s">
        <v>14058</v>
      </c>
      <c r="F1269">
        <v>4914</v>
      </c>
      <c r="G1269" t="s">
        <v>105</v>
      </c>
      <c r="H1269" t="s">
        <v>16</v>
      </c>
      <c r="I1269" t="s">
        <v>1740</v>
      </c>
      <c r="J1269" t="s">
        <v>1741</v>
      </c>
      <c r="K1269" t="s">
        <v>1809</v>
      </c>
      <c r="L1269" t="str">
        <f>HYPERLINK("https://business-monitor.ch/de/companies/1184830-leinus-recycling-gmbh?utm_source=oberaargau","PROFIL ANSEHEN")</f>
        <v>PROFIL ANSEHEN</v>
      </c>
    </row>
    <row r="1270" spans="1:12" x14ac:dyDescent="0.2">
      <c r="A1270" t="s">
        <v>4657</v>
      </c>
      <c r="B1270" t="s">
        <v>4658</v>
      </c>
      <c r="C1270" t="s">
        <v>202</v>
      </c>
      <c r="E1270" t="s">
        <v>4659</v>
      </c>
      <c r="F1270">
        <v>3367</v>
      </c>
      <c r="G1270" t="s">
        <v>455</v>
      </c>
      <c r="H1270" t="s">
        <v>16</v>
      </c>
      <c r="I1270" t="s">
        <v>657</v>
      </c>
      <c r="J1270" t="s">
        <v>658</v>
      </c>
      <c r="K1270" t="s">
        <v>1809</v>
      </c>
      <c r="L1270" t="str">
        <f>HYPERLINK("https://business-monitor.ch/de/companies/618854-pilzland-gmbh?utm_source=oberaargau","PROFIL ANSEHEN")</f>
        <v>PROFIL ANSEHEN</v>
      </c>
    </row>
    <row r="1271" spans="1:12" x14ac:dyDescent="0.2">
      <c r="A1271" t="s">
        <v>4030</v>
      </c>
      <c r="B1271" t="s">
        <v>4031</v>
      </c>
      <c r="C1271" t="s">
        <v>202</v>
      </c>
      <c r="E1271" t="s">
        <v>4032</v>
      </c>
      <c r="F1271">
        <v>3368</v>
      </c>
      <c r="G1271" t="s">
        <v>308</v>
      </c>
      <c r="H1271" t="s">
        <v>16</v>
      </c>
      <c r="I1271" t="s">
        <v>1401</v>
      </c>
      <c r="J1271" t="s">
        <v>1402</v>
      </c>
      <c r="K1271" t="s">
        <v>1809</v>
      </c>
      <c r="L1271" t="str">
        <f>HYPERLINK("https://business-monitor.ch/de/companies/620634-die-dorfgaertnerei-g-k-gmbh?utm_source=oberaargau","PROFIL ANSEHEN")</f>
        <v>PROFIL ANSEHEN</v>
      </c>
    </row>
    <row r="1272" spans="1:12" x14ac:dyDescent="0.2">
      <c r="A1272" t="s">
        <v>6066</v>
      </c>
      <c r="B1272" t="s">
        <v>6067</v>
      </c>
      <c r="C1272" t="s">
        <v>202</v>
      </c>
      <c r="E1272" t="s">
        <v>6068</v>
      </c>
      <c r="F1272">
        <v>3377</v>
      </c>
      <c r="G1272" t="s">
        <v>1220</v>
      </c>
      <c r="H1272" t="s">
        <v>16</v>
      </c>
      <c r="I1272" t="s">
        <v>1212</v>
      </c>
      <c r="J1272" t="s">
        <v>1213</v>
      </c>
      <c r="K1272" t="s">
        <v>1809</v>
      </c>
      <c r="L1272" t="str">
        <f>HYPERLINK("https://business-monitor.ch/de/companies/420653-wagner-gastronomie-gmbh?utm_source=oberaargau","PROFIL ANSEHEN")</f>
        <v>PROFIL ANSEHEN</v>
      </c>
    </row>
    <row r="1273" spans="1:12" x14ac:dyDescent="0.2">
      <c r="A1273" t="s">
        <v>11826</v>
      </c>
      <c r="B1273" t="s">
        <v>13924</v>
      </c>
      <c r="C1273" t="s">
        <v>202</v>
      </c>
      <c r="E1273" t="s">
        <v>5746</v>
      </c>
      <c r="F1273">
        <v>4900</v>
      </c>
      <c r="G1273" t="s">
        <v>41</v>
      </c>
      <c r="H1273" t="s">
        <v>16</v>
      </c>
      <c r="I1273" t="s">
        <v>1855</v>
      </c>
      <c r="J1273" t="s">
        <v>1856</v>
      </c>
      <c r="K1273" t="s">
        <v>1809</v>
      </c>
      <c r="L1273" t="str">
        <f>HYPERLINK("https://business-monitor.ch/de/companies/1175692-metlen-gmbh?utm_source=oberaargau","PROFIL ANSEHEN")</f>
        <v>PROFIL ANSEHEN</v>
      </c>
    </row>
    <row r="1274" spans="1:12" x14ac:dyDescent="0.2">
      <c r="A1274" t="s">
        <v>10500</v>
      </c>
      <c r="B1274" t="s">
        <v>10501</v>
      </c>
      <c r="C1274" t="s">
        <v>13</v>
      </c>
      <c r="E1274" t="s">
        <v>473</v>
      </c>
      <c r="F1274">
        <v>4900</v>
      </c>
      <c r="G1274" t="s">
        <v>41</v>
      </c>
      <c r="H1274" t="s">
        <v>16</v>
      </c>
      <c r="I1274" t="s">
        <v>1936</v>
      </c>
      <c r="J1274" t="s">
        <v>1937</v>
      </c>
      <c r="K1274" t="s">
        <v>1809</v>
      </c>
      <c r="L1274" t="str">
        <f>HYPERLINK("https://business-monitor.ch/de/companies/484555-tqv-audit-ag?utm_source=oberaargau","PROFIL ANSEHEN")</f>
        <v>PROFIL ANSEHEN</v>
      </c>
    </row>
    <row r="1275" spans="1:12" x14ac:dyDescent="0.2">
      <c r="A1275" t="s">
        <v>4926</v>
      </c>
      <c r="B1275" t="s">
        <v>4927</v>
      </c>
      <c r="C1275" t="s">
        <v>13</v>
      </c>
      <c r="E1275" t="s">
        <v>14442</v>
      </c>
      <c r="F1275">
        <v>4954</v>
      </c>
      <c r="G1275" t="s">
        <v>359</v>
      </c>
      <c r="H1275" t="s">
        <v>16</v>
      </c>
      <c r="I1275" t="s">
        <v>608</v>
      </c>
      <c r="J1275" t="s">
        <v>609</v>
      </c>
      <c r="K1275" t="s">
        <v>1809</v>
      </c>
      <c r="L1275" t="str">
        <f>HYPERLINK("https://business-monitor.ch/de/companies/58066-eggimann-a-g?utm_source=oberaargau","PROFIL ANSEHEN")</f>
        <v>PROFIL ANSEHEN</v>
      </c>
    </row>
    <row r="1276" spans="1:12" x14ac:dyDescent="0.2">
      <c r="A1276" t="s">
        <v>4621</v>
      </c>
      <c r="B1276" t="s">
        <v>4622</v>
      </c>
      <c r="C1276" t="s">
        <v>202</v>
      </c>
      <c r="D1276" t="s">
        <v>4623</v>
      </c>
      <c r="E1276" t="s">
        <v>3438</v>
      </c>
      <c r="F1276">
        <v>4536</v>
      </c>
      <c r="G1276" t="s">
        <v>1395</v>
      </c>
      <c r="H1276" t="s">
        <v>16</v>
      </c>
      <c r="I1276" t="s">
        <v>182</v>
      </c>
      <c r="J1276" t="s">
        <v>183</v>
      </c>
      <c r="K1276" t="s">
        <v>1809</v>
      </c>
      <c r="L1276" t="str">
        <f>HYPERLINK("https://business-monitor.ch/de/companies/634558-max-zumstein-holding-gmbh?utm_source=oberaargau","PROFIL ANSEHEN")</f>
        <v>PROFIL ANSEHEN</v>
      </c>
    </row>
    <row r="1277" spans="1:12" x14ac:dyDescent="0.2">
      <c r="A1277" t="s">
        <v>9006</v>
      </c>
      <c r="B1277" t="s">
        <v>9007</v>
      </c>
      <c r="C1277" t="s">
        <v>13</v>
      </c>
      <c r="E1277" t="s">
        <v>9008</v>
      </c>
      <c r="F1277">
        <v>4900</v>
      </c>
      <c r="G1277" t="s">
        <v>41</v>
      </c>
      <c r="H1277" t="s">
        <v>16</v>
      </c>
      <c r="I1277" t="s">
        <v>679</v>
      </c>
      <c r="J1277" t="s">
        <v>680</v>
      </c>
      <c r="K1277" t="s">
        <v>1809</v>
      </c>
      <c r="L1277" t="str">
        <f>HYPERLINK("https://business-monitor.ch/de/companies/233492-m-neuenschwander-ag?utm_source=oberaargau","PROFIL ANSEHEN")</f>
        <v>PROFIL ANSEHEN</v>
      </c>
    </row>
    <row r="1278" spans="1:12" x14ac:dyDescent="0.2">
      <c r="A1278" t="s">
        <v>14443</v>
      </c>
      <c r="B1278" t="s">
        <v>14444</v>
      </c>
      <c r="C1278" t="s">
        <v>202</v>
      </c>
      <c r="E1278" t="s">
        <v>14445</v>
      </c>
      <c r="F1278">
        <v>3373</v>
      </c>
      <c r="G1278" t="s">
        <v>2429</v>
      </c>
      <c r="H1278" t="s">
        <v>16</v>
      </c>
      <c r="I1278" t="s">
        <v>3861</v>
      </c>
      <c r="J1278" t="s">
        <v>3862</v>
      </c>
      <c r="K1278" t="s">
        <v>1809</v>
      </c>
      <c r="L1278" t="str">
        <f>HYPERLINK("https://business-monitor.ch/de/companies/989883-matum-gmbh?utm_source=oberaargau","PROFIL ANSEHEN")</f>
        <v>PROFIL ANSEHEN</v>
      </c>
    </row>
    <row r="1279" spans="1:12" x14ac:dyDescent="0.2">
      <c r="A1279" t="s">
        <v>3523</v>
      </c>
      <c r="B1279" t="s">
        <v>3524</v>
      </c>
      <c r="C1279" t="s">
        <v>13</v>
      </c>
      <c r="E1279" t="s">
        <v>3525</v>
      </c>
      <c r="F1279">
        <v>4914</v>
      </c>
      <c r="G1279" t="s">
        <v>105</v>
      </c>
      <c r="H1279" t="s">
        <v>16</v>
      </c>
      <c r="I1279" t="s">
        <v>565</v>
      </c>
      <c r="J1279" t="s">
        <v>566</v>
      </c>
      <c r="K1279" t="s">
        <v>1809</v>
      </c>
      <c r="L1279" t="str">
        <f>HYPERLINK("https://business-monitor.ch/de/companies/148302-baeckerei-cafe-zulauf-ag?utm_source=oberaargau","PROFIL ANSEHEN")</f>
        <v>PROFIL ANSEHEN</v>
      </c>
    </row>
    <row r="1280" spans="1:12" x14ac:dyDescent="0.2">
      <c r="A1280" t="s">
        <v>4594</v>
      </c>
      <c r="B1280" t="s">
        <v>4595</v>
      </c>
      <c r="C1280" t="s">
        <v>1812</v>
      </c>
      <c r="E1280" t="s">
        <v>4596</v>
      </c>
      <c r="F1280">
        <v>3360</v>
      </c>
      <c r="G1280" t="s">
        <v>35</v>
      </c>
      <c r="H1280" t="s">
        <v>16</v>
      </c>
      <c r="I1280" t="s">
        <v>1841</v>
      </c>
      <c r="J1280" t="s">
        <v>1842</v>
      </c>
      <c r="K1280" t="s">
        <v>1809</v>
      </c>
      <c r="L1280" t="str">
        <f>HYPERLINK("https://business-monitor.ch/de/companies/645254-podologie-spv-b-zweifel?utm_source=oberaargau","PROFIL ANSEHEN")</f>
        <v>PROFIL ANSEHEN</v>
      </c>
    </row>
    <row r="1281" spans="1:12" x14ac:dyDescent="0.2">
      <c r="A1281" t="s">
        <v>14446</v>
      </c>
      <c r="B1281" t="s">
        <v>14447</v>
      </c>
      <c r="C1281" t="s">
        <v>13</v>
      </c>
      <c r="E1281" t="s">
        <v>9513</v>
      </c>
      <c r="F1281">
        <v>4917</v>
      </c>
      <c r="G1281" t="s">
        <v>376</v>
      </c>
      <c r="H1281" t="s">
        <v>16</v>
      </c>
      <c r="I1281" t="s">
        <v>935</v>
      </c>
      <c r="J1281" t="s">
        <v>936</v>
      </c>
      <c r="K1281" t="s">
        <v>1809</v>
      </c>
      <c r="L1281" t="str">
        <f>HYPERLINK("https://business-monitor.ch/de/companies/1296904-schaerme-melchnau-immobilien-ag?utm_source=oberaargau","PROFIL ANSEHEN")</f>
        <v>PROFIL ANSEHEN</v>
      </c>
    </row>
    <row r="1282" spans="1:12" x14ac:dyDescent="0.2">
      <c r="A1282" t="s">
        <v>9378</v>
      </c>
      <c r="B1282" t="s">
        <v>9379</v>
      </c>
      <c r="C1282" t="s">
        <v>84</v>
      </c>
      <c r="E1282" t="s">
        <v>9380</v>
      </c>
      <c r="F1282">
        <v>4942</v>
      </c>
      <c r="G1282" t="s">
        <v>1287</v>
      </c>
      <c r="H1282" t="s">
        <v>16</v>
      </c>
      <c r="I1282" t="s">
        <v>9381</v>
      </c>
      <c r="J1282" t="s">
        <v>9382</v>
      </c>
      <c r="K1282" t="s">
        <v>1809</v>
      </c>
      <c r="L1282" t="str">
        <f>HYPERLINK("https://business-monitor.ch/de/companies/64746-skiliftgenossenschaft-walterswil?utm_source=oberaargau","PROFIL ANSEHEN")</f>
        <v>PROFIL ANSEHEN</v>
      </c>
    </row>
    <row r="1283" spans="1:12" x14ac:dyDescent="0.2">
      <c r="A1283" t="s">
        <v>10110</v>
      </c>
      <c r="B1283" t="s">
        <v>10111</v>
      </c>
      <c r="C1283" t="s">
        <v>13</v>
      </c>
      <c r="E1283" t="s">
        <v>1354</v>
      </c>
      <c r="F1283">
        <v>4900</v>
      </c>
      <c r="G1283" t="s">
        <v>41</v>
      </c>
      <c r="H1283" t="s">
        <v>16</v>
      </c>
      <c r="I1283" t="s">
        <v>182</v>
      </c>
      <c r="J1283" t="s">
        <v>183</v>
      </c>
      <c r="K1283" t="s">
        <v>1809</v>
      </c>
      <c r="L1283" t="str">
        <f>HYPERLINK("https://business-monitor.ch/de/companies/668981-roe-trans-holding-ag?utm_source=oberaargau","PROFIL ANSEHEN")</f>
        <v>PROFIL ANSEHEN</v>
      </c>
    </row>
    <row r="1284" spans="1:12" x14ac:dyDescent="0.2">
      <c r="A1284" t="s">
        <v>26</v>
      </c>
      <c r="B1284" t="s">
        <v>12337</v>
      </c>
      <c r="C1284" t="s">
        <v>1812</v>
      </c>
      <c r="E1284" t="s">
        <v>12338</v>
      </c>
      <c r="F1284">
        <v>4914</v>
      </c>
      <c r="G1284" t="s">
        <v>105</v>
      </c>
      <c r="H1284" t="s">
        <v>16</v>
      </c>
      <c r="I1284" t="s">
        <v>3864</v>
      </c>
      <c r="J1284" t="s">
        <v>3865</v>
      </c>
      <c r="K1284" t="s">
        <v>1809</v>
      </c>
      <c r="L1284" t="str">
        <f>HYPERLINK("https://business-monitor.ch/de/companies/183021-werbefotograf-ch-patrick-zemp?utm_source=oberaargau","PROFIL ANSEHEN")</f>
        <v>PROFIL ANSEHEN</v>
      </c>
    </row>
    <row r="1285" spans="1:12" x14ac:dyDescent="0.2">
      <c r="A1285" t="s">
        <v>11496</v>
      </c>
      <c r="B1285" t="s">
        <v>11497</v>
      </c>
      <c r="C1285" t="s">
        <v>202</v>
      </c>
      <c r="E1285" t="s">
        <v>11498</v>
      </c>
      <c r="F1285">
        <v>4537</v>
      </c>
      <c r="G1285" t="s">
        <v>113</v>
      </c>
      <c r="H1285" t="s">
        <v>16</v>
      </c>
      <c r="I1285" t="s">
        <v>24</v>
      </c>
      <c r="J1285" t="s">
        <v>25</v>
      </c>
      <c r="K1285" t="s">
        <v>1809</v>
      </c>
      <c r="L1285" t="str">
        <f>HYPERLINK("https://business-monitor.ch/de/companies/1143671-smart4it-gmbh?utm_source=oberaargau","PROFIL ANSEHEN")</f>
        <v>PROFIL ANSEHEN</v>
      </c>
    </row>
    <row r="1286" spans="1:12" x14ac:dyDescent="0.2">
      <c r="A1286" t="s">
        <v>12352</v>
      </c>
      <c r="B1286" t="s">
        <v>12353</v>
      </c>
      <c r="C1286" t="s">
        <v>1812</v>
      </c>
      <c r="D1286" t="s">
        <v>12354</v>
      </c>
      <c r="E1286" t="s">
        <v>12355</v>
      </c>
      <c r="F1286">
        <v>4900</v>
      </c>
      <c r="G1286" t="s">
        <v>41</v>
      </c>
      <c r="H1286" t="s">
        <v>16</v>
      </c>
      <c r="I1286" t="s">
        <v>955</v>
      </c>
      <c r="J1286" t="s">
        <v>956</v>
      </c>
      <c r="K1286" t="s">
        <v>1809</v>
      </c>
      <c r="L1286" t="str">
        <f>HYPERLINK("https://business-monitor.ch/de/companies/1199338-setaplaster-oeztanlilar?utm_source=oberaargau","PROFIL ANSEHEN")</f>
        <v>PROFIL ANSEHEN</v>
      </c>
    </row>
    <row r="1287" spans="1:12" x14ac:dyDescent="0.2">
      <c r="A1287" t="s">
        <v>8650</v>
      </c>
      <c r="B1287" t="s">
        <v>8651</v>
      </c>
      <c r="C1287" t="s">
        <v>202</v>
      </c>
      <c r="E1287" t="s">
        <v>8652</v>
      </c>
      <c r="F1287">
        <v>3367</v>
      </c>
      <c r="G1287" t="s">
        <v>455</v>
      </c>
      <c r="H1287" t="s">
        <v>16</v>
      </c>
      <c r="I1287" t="s">
        <v>2900</v>
      </c>
      <c r="J1287" t="s">
        <v>2901</v>
      </c>
      <c r="K1287" t="s">
        <v>1809</v>
      </c>
      <c r="L1287" t="str">
        <f>HYPERLINK("https://business-monitor.ch/de/companies/655438-fahrschule-reinhard-gmbh?utm_source=oberaargau","PROFIL ANSEHEN")</f>
        <v>PROFIL ANSEHEN</v>
      </c>
    </row>
    <row r="1288" spans="1:12" x14ac:dyDescent="0.2">
      <c r="A1288" t="s">
        <v>10129</v>
      </c>
      <c r="B1288" t="s">
        <v>10130</v>
      </c>
      <c r="C1288" t="s">
        <v>2178</v>
      </c>
      <c r="E1288" t="s">
        <v>2495</v>
      </c>
      <c r="F1288">
        <v>3360</v>
      </c>
      <c r="G1288" t="s">
        <v>35</v>
      </c>
      <c r="H1288" t="s">
        <v>16</v>
      </c>
      <c r="I1288" t="s">
        <v>3681</v>
      </c>
      <c r="J1288" t="s">
        <v>3682</v>
      </c>
      <c r="K1288" t="s">
        <v>1809</v>
      </c>
      <c r="L1288" t="str">
        <f>HYPERLINK("https://business-monitor.ch/de/companies/658936-w-h-ag?utm_source=oberaargau","PROFIL ANSEHEN")</f>
        <v>PROFIL ANSEHEN</v>
      </c>
    </row>
    <row r="1289" spans="1:12" x14ac:dyDescent="0.2">
      <c r="A1289" t="s">
        <v>14269</v>
      </c>
      <c r="B1289" t="s">
        <v>14270</v>
      </c>
      <c r="C1289" t="s">
        <v>1812</v>
      </c>
      <c r="E1289" t="s">
        <v>14271</v>
      </c>
      <c r="F1289">
        <v>4912</v>
      </c>
      <c r="G1289" t="s">
        <v>64</v>
      </c>
      <c r="H1289" t="s">
        <v>16</v>
      </c>
      <c r="I1289" t="s">
        <v>733</v>
      </c>
      <c r="J1289" t="s">
        <v>734</v>
      </c>
      <c r="K1289" t="s">
        <v>1809</v>
      </c>
      <c r="L1289" t="str">
        <f>HYPERLINK("https://business-monitor.ch/de/companies/1172486-yilmaz-automobile?utm_source=oberaargau","PROFIL ANSEHEN")</f>
        <v>PROFIL ANSEHEN</v>
      </c>
    </row>
    <row r="1290" spans="1:12" x14ac:dyDescent="0.2">
      <c r="A1290" t="s">
        <v>3804</v>
      </c>
      <c r="B1290" t="s">
        <v>3805</v>
      </c>
      <c r="C1290" t="s">
        <v>13</v>
      </c>
      <c r="D1290" t="s">
        <v>12852</v>
      </c>
      <c r="E1290" t="s">
        <v>13308</v>
      </c>
      <c r="F1290">
        <v>4937</v>
      </c>
      <c r="G1290" t="s">
        <v>951</v>
      </c>
      <c r="H1290" t="s">
        <v>16</v>
      </c>
      <c r="I1290" t="s">
        <v>2587</v>
      </c>
      <c r="J1290" t="s">
        <v>2588</v>
      </c>
      <c r="K1290" t="s">
        <v>1809</v>
      </c>
      <c r="L1290" t="str">
        <f>HYPERLINK("https://business-monitor.ch/de/companies/674348-warenhandel-althaus-ag?utm_source=oberaargau","PROFIL ANSEHEN")</f>
        <v>PROFIL ANSEHEN</v>
      </c>
    </row>
    <row r="1291" spans="1:12" x14ac:dyDescent="0.2">
      <c r="A1291" t="s">
        <v>3070</v>
      </c>
      <c r="B1291" t="s">
        <v>3071</v>
      </c>
      <c r="C1291" t="s">
        <v>13</v>
      </c>
      <c r="E1291" t="s">
        <v>473</v>
      </c>
      <c r="F1291">
        <v>4900</v>
      </c>
      <c r="G1291" t="s">
        <v>41</v>
      </c>
      <c r="H1291" t="s">
        <v>16</v>
      </c>
      <c r="I1291" t="s">
        <v>935</v>
      </c>
      <c r="J1291" t="s">
        <v>936</v>
      </c>
      <c r="K1291" t="s">
        <v>1809</v>
      </c>
      <c r="L1291" t="str">
        <f>HYPERLINK("https://business-monitor.ch/de/companies/338955-wirulent-immobilien-ag?utm_source=oberaargau","PROFIL ANSEHEN")</f>
        <v>PROFIL ANSEHEN</v>
      </c>
    </row>
    <row r="1292" spans="1:12" x14ac:dyDescent="0.2">
      <c r="A1292" t="s">
        <v>5195</v>
      </c>
      <c r="B1292" t="s">
        <v>5196</v>
      </c>
      <c r="C1292" t="s">
        <v>202</v>
      </c>
      <c r="E1292" t="s">
        <v>1514</v>
      </c>
      <c r="F1292">
        <v>4900</v>
      </c>
      <c r="G1292" t="s">
        <v>41</v>
      </c>
      <c r="H1292" t="s">
        <v>16</v>
      </c>
      <c r="I1292" t="s">
        <v>1296</v>
      </c>
      <c r="J1292" t="s">
        <v>1297</v>
      </c>
      <c r="K1292" t="s">
        <v>1809</v>
      </c>
      <c r="L1292" t="str">
        <f>HYPERLINK("https://business-monitor.ch/de/companies/501107-klar-webagentur-gmbh?utm_source=oberaargau","PROFIL ANSEHEN")</f>
        <v>PROFIL ANSEHEN</v>
      </c>
    </row>
    <row r="1293" spans="1:12" x14ac:dyDescent="0.2">
      <c r="A1293" t="s">
        <v>7527</v>
      </c>
      <c r="B1293" t="s">
        <v>7528</v>
      </c>
      <c r="C1293" t="s">
        <v>202</v>
      </c>
      <c r="D1293" t="s">
        <v>7529</v>
      </c>
      <c r="E1293" t="s">
        <v>7530</v>
      </c>
      <c r="F1293">
        <v>3380</v>
      </c>
      <c r="G1293" t="s">
        <v>29</v>
      </c>
      <c r="H1293" t="s">
        <v>16</v>
      </c>
      <c r="I1293" t="s">
        <v>1267</v>
      </c>
      <c r="J1293" t="s">
        <v>1268</v>
      </c>
      <c r="K1293" t="s">
        <v>1809</v>
      </c>
      <c r="L1293" t="str">
        <f>HYPERLINK("https://business-monitor.ch/de/companies/703556-bstb-trend-trade-consulting-gmbh?utm_source=oberaargau","PROFIL ANSEHEN")</f>
        <v>PROFIL ANSEHEN</v>
      </c>
    </row>
    <row r="1294" spans="1:12" x14ac:dyDescent="0.2">
      <c r="A1294" t="s">
        <v>14288</v>
      </c>
      <c r="B1294" t="s">
        <v>14289</v>
      </c>
      <c r="C1294" t="s">
        <v>202</v>
      </c>
      <c r="E1294" t="s">
        <v>14290</v>
      </c>
      <c r="F1294">
        <v>4937</v>
      </c>
      <c r="G1294" t="s">
        <v>951</v>
      </c>
      <c r="H1294" t="s">
        <v>16</v>
      </c>
      <c r="I1294" t="s">
        <v>642</v>
      </c>
      <c r="J1294" t="s">
        <v>643</v>
      </c>
      <c r="K1294" t="s">
        <v>1809</v>
      </c>
      <c r="L1294" t="str">
        <f>HYPERLINK("https://business-monitor.ch/de/companies/1295092-garage-griffo-gmbh?utm_source=oberaargau","PROFIL ANSEHEN")</f>
        <v>PROFIL ANSEHEN</v>
      </c>
    </row>
    <row r="1295" spans="1:12" x14ac:dyDescent="0.2">
      <c r="A1295" t="s">
        <v>4920</v>
      </c>
      <c r="B1295" t="s">
        <v>4921</v>
      </c>
      <c r="C1295" t="s">
        <v>1812</v>
      </c>
      <c r="E1295" t="s">
        <v>4922</v>
      </c>
      <c r="F1295">
        <v>3367</v>
      </c>
      <c r="G1295" t="s">
        <v>1336</v>
      </c>
      <c r="H1295" t="s">
        <v>16</v>
      </c>
      <c r="I1295" t="s">
        <v>603</v>
      </c>
      <c r="J1295" t="s">
        <v>604</v>
      </c>
      <c r="K1295" t="s">
        <v>1809</v>
      </c>
      <c r="L1295" t="str">
        <f>HYPERLINK("https://business-monitor.ch/de/companies/327687-wuethrich-sportartikel?utm_source=oberaargau","PROFIL ANSEHEN")</f>
        <v>PROFIL ANSEHEN</v>
      </c>
    </row>
    <row r="1296" spans="1:12" x14ac:dyDescent="0.2">
      <c r="A1296" t="s">
        <v>10639</v>
      </c>
      <c r="B1296" t="s">
        <v>10640</v>
      </c>
      <c r="C1296" t="s">
        <v>13</v>
      </c>
      <c r="E1296" t="s">
        <v>8812</v>
      </c>
      <c r="F1296">
        <v>3360</v>
      </c>
      <c r="G1296" t="s">
        <v>35</v>
      </c>
      <c r="H1296" t="s">
        <v>16</v>
      </c>
      <c r="I1296" t="s">
        <v>807</v>
      </c>
      <c r="J1296" t="s">
        <v>808</v>
      </c>
      <c r="K1296" t="s">
        <v>1809</v>
      </c>
      <c r="L1296" t="str">
        <f>HYPERLINK("https://business-monitor.ch/de/companies/54049-karl-anliker-ag?utm_source=oberaargau","PROFIL ANSEHEN")</f>
        <v>PROFIL ANSEHEN</v>
      </c>
    </row>
    <row r="1297" spans="1:12" x14ac:dyDescent="0.2">
      <c r="A1297" t="s">
        <v>6021</v>
      </c>
      <c r="B1297" t="s">
        <v>6022</v>
      </c>
      <c r="C1297" t="s">
        <v>13</v>
      </c>
      <c r="E1297" t="s">
        <v>6023</v>
      </c>
      <c r="F1297">
        <v>3376</v>
      </c>
      <c r="G1297" t="s">
        <v>2012</v>
      </c>
      <c r="H1297" t="s">
        <v>16</v>
      </c>
      <c r="I1297" t="s">
        <v>260</v>
      </c>
      <c r="J1297" t="s">
        <v>261</v>
      </c>
      <c r="K1297" t="s">
        <v>1809</v>
      </c>
      <c r="L1297" t="str">
        <f>HYPERLINK("https://business-monitor.ch/de/companies/437299-concept21-ag?utm_source=oberaargau","PROFIL ANSEHEN")</f>
        <v>PROFIL ANSEHEN</v>
      </c>
    </row>
    <row r="1298" spans="1:12" x14ac:dyDescent="0.2">
      <c r="A1298" t="s">
        <v>2054</v>
      </c>
      <c r="B1298" t="s">
        <v>2055</v>
      </c>
      <c r="C1298" t="s">
        <v>1812</v>
      </c>
      <c r="E1298" t="s">
        <v>2056</v>
      </c>
      <c r="F1298">
        <v>4922</v>
      </c>
      <c r="G1298" t="s">
        <v>99</v>
      </c>
      <c r="H1298" t="s">
        <v>16</v>
      </c>
      <c r="I1298" t="s">
        <v>565</v>
      </c>
      <c r="J1298" t="s">
        <v>566</v>
      </c>
      <c r="K1298" t="s">
        <v>1809</v>
      </c>
      <c r="L1298" t="str">
        <f>HYPERLINK("https://business-monitor.ch/de/companies/171641-daniel-wyss?utm_source=oberaargau","PROFIL ANSEHEN")</f>
        <v>PROFIL ANSEHEN</v>
      </c>
    </row>
    <row r="1299" spans="1:12" x14ac:dyDescent="0.2">
      <c r="A1299" t="s">
        <v>7259</v>
      </c>
      <c r="B1299" t="s">
        <v>7260</v>
      </c>
      <c r="C1299" t="s">
        <v>202</v>
      </c>
      <c r="D1299" t="s">
        <v>7261</v>
      </c>
      <c r="E1299" t="s">
        <v>7262</v>
      </c>
      <c r="F1299">
        <v>4914</v>
      </c>
      <c r="G1299" t="s">
        <v>105</v>
      </c>
      <c r="H1299" t="s">
        <v>16</v>
      </c>
      <c r="I1299" t="s">
        <v>733</v>
      </c>
      <c r="J1299" t="s">
        <v>734</v>
      </c>
      <c r="K1299" t="s">
        <v>1809</v>
      </c>
      <c r="L1299" t="str">
        <f>HYPERLINK("https://business-monitor.ch/de/companies/1017164-t15-solution-gmbh?utm_source=oberaargau","PROFIL ANSEHEN")</f>
        <v>PROFIL ANSEHEN</v>
      </c>
    </row>
    <row r="1300" spans="1:12" x14ac:dyDescent="0.2">
      <c r="A1300" t="s">
        <v>9168</v>
      </c>
      <c r="B1300" t="s">
        <v>14448</v>
      </c>
      <c r="C1300" t="s">
        <v>202</v>
      </c>
      <c r="E1300" t="s">
        <v>2159</v>
      </c>
      <c r="F1300">
        <v>3380</v>
      </c>
      <c r="G1300" t="s">
        <v>29</v>
      </c>
      <c r="H1300" t="s">
        <v>16</v>
      </c>
      <c r="I1300" t="s">
        <v>1097</v>
      </c>
      <c r="J1300" t="s">
        <v>1098</v>
      </c>
      <c r="K1300" t="s">
        <v>1809</v>
      </c>
      <c r="L1300" t="str">
        <f>HYPERLINK("https://business-monitor.ch/de/companies/169631-pb-vertriebs-gmbh?utm_source=oberaargau","PROFIL ANSEHEN")</f>
        <v>PROFIL ANSEHEN</v>
      </c>
    </row>
    <row r="1301" spans="1:12" x14ac:dyDescent="0.2">
      <c r="A1301" t="s">
        <v>12670</v>
      </c>
      <c r="B1301" t="s">
        <v>12671</v>
      </c>
      <c r="C1301" t="s">
        <v>202</v>
      </c>
      <c r="E1301" t="s">
        <v>8829</v>
      </c>
      <c r="F1301">
        <v>4900</v>
      </c>
      <c r="G1301" t="s">
        <v>41</v>
      </c>
      <c r="H1301" t="s">
        <v>16</v>
      </c>
      <c r="I1301" t="s">
        <v>854</v>
      </c>
      <c r="J1301" t="s">
        <v>855</v>
      </c>
      <c r="K1301" t="s">
        <v>1809</v>
      </c>
      <c r="L1301" t="str">
        <f>HYPERLINK("https://business-monitor.ch/de/companies/396428-hecon-gmbh?utm_source=oberaargau","PROFIL ANSEHEN")</f>
        <v>PROFIL ANSEHEN</v>
      </c>
    </row>
    <row r="1302" spans="1:12" x14ac:dyDescent="0.2">
      <c r="A1302" t="s">
        <v>7843</v>
      </c>
      <c r="B1302" t="s">
        <v>7844</v>
      </c>
      <c r="C1302" t="s">
        <v>1812</v>
      </c>
      <c r="E1302" t="s">
        <v>138</v>
      </c>
      <c r="F1302">
        <v>4914</v>
      </c>
      <c r="G1302" t="s">
        <v>717</v>
      </c>
      <c r="H1302" t="s">
        <v>16</v>
      </c>
      <c r="I1302" t="s">
        <v>2842</v>
      </c>
      <c r="J1302" t="s">
        <v>2843</v>
      </c>
      <c r="K1302" t="s">
        <v>1809</v>
      </c>
      <c r="L1302" t="str">
        <f>HYPERLINK("https://business-monitor.ch/de/companies/156727-peter-lerch-pele-computer?utm_source=oberaargau","PROFIL ANSEHEN")</f>
        <v>PROFIL ANSEHEN</v>
      </c>
    </row>
    <row r="1303" spans="1:12" x14ac:dyDescent="0.2">
      <c r="A1303" t="s">
        <v>659</v>
      </c>
      <c r="B1303" t="s">
        <v>13122</v>
      </c>
      <c r="C1303" t="s">
        <v>13</v>
      </c>
      <c r="E1303" t="s">
        <v>661</v>
      </c>
      <c r="F1303">
        <v>4900</v>
      </c>
      <c r="G1303" t="s">
        <v>41</v>
      </c>
      <c r="H1303" t="s">
        <v>16</v>
      </c>
      <c r="I1303" t="s">
        <v>662</v>
      </c>
      <c r="J1303" t="s">
        <v>663</v>
      </c>
      <c r="K1303" t="s">
        <v>1809</v>
      </c>
      <c r="L1303" t="str">
        <f>HYPERLINK("https://business-monitor.ch/de/companies/199075-flueckiger-baumanagement-ag?utm_source=oberaargau","PROFIL ANSEHEN")</f>
        <v>PROFIL ANSEHEN</v>
      </c>
    </row>
    <row r="1304" spans="1:12" x14ac:dyDescent="0.2">
      <c r="A1304" t="s">
        <v>9846</v>
      </c>
      <c r="B1304" t="s">
        <v>9847</v>
      </c>
      <c r="C1304" t="s">
        <v>202</v>
      </c>
      <c r="E1304" t="s">
        <v>9848</v>
      </c>
      <c r="F1304">
        <v>4917</v>
      </c>
      <c r="G1304" t="s">
        <v>376</v>
      </c>
      <c r="H1304" t="s">
        <v>16</v>
      </c>
      <c r="I1304" t="s">
        <v>1026</v>
      </c>
      <c r="J1304" t="s">
        <v>1027</v>
      </c>
      <c r="K1304" t="s">
        <v>1809</v>
      </c>
      <c r="L1304" t="str">
        <f>HYPERLINK("https://business-monitor.ch/de/companies/991108-stuker-womo-gmbh?utm_source=oberaargau","PROFIL ANSEHEN")</f>
        <v>PROFIL ANSEHEN</v>
      </c>
    </row>
    <row r="1305" spans="1:12" x14ac:dyDescent="0.2">
      <c r="A1305" t="s">
        <v>13662</v>
      </c>
      <c r="B1305" t="s">
        <v>13663</v>
      </c>
      <c r="C1305" t="s">
        <v>202</v>
      </c>
      <c r="E1305" t="s">
        <v>13664</v>
      </c>
      <c r="F1305">
        <v>4913</v>
      </c>
      <c r="G1305" t="s">
        <v>207</v>
      </c>
      <c r="H1305" t="s">
        <v>16</v>
      </c>
      <c r="I1305" t="s">
        <v>1470</v>
      </c>
      <c r="J1305" t="s">
        <v>1471</v>
      </c>
      <c r="K1305" t="s">
        <v>1809</v>
      </c>
      <c r="L1305" t="str">
        <f>HYPERLINK("https://business-monitor.ch/de/companies/1261943-balkac-haustechnik-gmbh?utm_source=oberaargau","PROFIL ANSEHEN")</f>
        <v>PROFIL ANSEHEN</v>
      </c>
    </row>
    <row r="1306" spans="1:12" x14ac:dyDescent="0.2">
      <c r="A1306" t="s">
        <v>4907</v>
      </c>
      <c r="B1306" t="s">
        <v>4908</v>
      </c>
      <c r="C1306" t="s">
        <v>1827</v>
      </c>
      <c r="E1306" t="s">
        <v>4909</v>
      </c>
      <c r="F1306">
        <v>3363</v>
      </c>
      <c r="G1306" t="s">
        <v>1367</v>
      </c>
      <c r="H1306" t="s">
        <v>16</v>
      </c>
      <c r="I1306" t="s">
        <v>824</v>
      </c>
      <c r="J1306" t="s">
        <v>825</v>
      </c>
      <c r="K1306" t="s">
        <v>1809</v>
      </c>
      <c r="L1306" t="str">
        <f>HYPERLINK("https://business-monitor.ch/de/companies/9000-gasthof-kreuz-marti-krummenacher?utm_source=oberaargau","PROFIL ANSEHEN")</f>
        <v>PROFIL ANSEHEN</v>
      </c>
    </row>
    <row r="1307" spans="1:12" x14ac:dyDescent="0.2">
      <c r="A1307" t="s">
        <v>11671</v>
      </c>
      <c r="B1307" t="s">
        <v>11672</v>
      </c>
      <c r="C1307" t="s">
        <v>1812</v>
      </c>
      <c r="E1307" t="s">
        <v>11673</v>
      </c>
      <c r="F1307">
        <v>4923</v>
      </c>
      <c r="G1307" t="s">
        <v>732</v>
      </c>
      <c r="H1307" t="s">
        <v>16</v>
      </c>
      <c r="I1307" t="s">
        <v>1855</v>
      </c>
      <c r="J1307" t="s">
        <v>1856</v>
      </c>
      <c r="K1307" t="s">
        <v>1809</v>
      </c>
      <c r="L1307" t="str">
        <f>HYPERLINK("https://business-monitor.ch/de/companies/1159075-sarah-s-mobile-fusspflege-inh-hasler?utm_source=oberaargau","PROFIL ANSEHEN")</f>
        <v>PROFIL ANSEHEN</v>
      </c>
    </row>
    <row r="1308" spans="1:12" x14ac:dyDescent="0.2">
      <c r="A1308" t="s">
        <v>9063</v>
      </c>
      <c r="B1308" t="s">
        <v>11640</v>
      </c>
      <c r="C1308" t="s">
        <v>1922</v>
      </c>
      <c r="E1308" t="s">
        <v>10623</v>
      </c>
      <c r="F1308">
        <v>4900</v>
      </c>
      <c r="G1308" t="s">
        <v>41</v>
      </c>
      <c r="H1308" t="s">
        <v>16</v>
      </c>
      <c r="I1308" t="s">
        <v>366</v>
      </c>
      <c r="J1308" t="s">
        <v>367</v>
      </c>
      <c r="K1308" t="s">
        <v>1809</v>
      </c>
      <c r="L1308" t="str">
        <f>HYPERLINK("https://business-monitor.ch/de/companies/1162161-stiftung-lindenhof-cura-langenthal?utm_source=oberaargau","PROFIL ANSEHEN")</f>
        <v>PROFIL ANSEHEN</v>
      </c>
    </row>
    <row r="1309" spans="1:12" x14ac:dyDescent="0.2">
      <c r="A1309" t="s">
        <v>4904</v>
      </c>
      <c r="B1309" t="s">
        <v>4905</v>
      </c>
      <c r="C1309" t="s">
        <v>1812</v>
      </c>
      <c r="E1309" t="s">
        <v>4906</v>
      </c>
      <c r="F1309">
        <v>3380</v>
      </c>
      <c r="G1309" t="s">
        <v>29</v>
      </c>
      <c r="H1309" t="s">
        <v>16</v>
      </c>
      <c r="I1309" t="s">
        <v>335</v>
      </c>
      <c r="J1309" t="s">
        <v>336</v>
      </c>
      <c r="K1309" t="s">
        <v>1809</v>
      </c>
      <c r="L1309" t="str">
        <f>HYPERLINK("https://business-monitor.ch/de/companies/181648-pro-sound-beschallungstechnik-d-amsler?utm_source=oberaargau","PROFIL ANSEHEN")</f>
        <v>PROFIL ANSEHEN</v>
      </c>
    </row>
    <row r="1310" spans="1:12" x14ac:dyDescent="0.2">
      <c r="A1310" t="s">
        <v>2524</v>
      </c>
      <c r="B1310" t="s">
        <v>2525</v>
      </c>
      <c r="C1310" t="s">
        <v>13</v>
      </c>
      <c r="E1310" t="s">
        <v>2526</v>
      </c>
      <c r="F1310">
        <v>4538</v>
      </c>
      <c r="G1310" t="s">
        <v>71</v>
      </c>
      <c r="H1310" t="s">
        <v>16</v>
      </c>
      <c r="I1310" t="s">
        <v>260</v>
      </c>
      <c r="J1310" t="s">
        <v>261</v>
      </c>
      <c r="K1310" t="s">
        <v>1809</v>
      </c>
      <c r="L1310" t="str">
        <f>HYPERLINK("https://business-monitor.ch/de/companies/143822-eibo-ag?utm_source=oberaargau","PROFIL ANSEHEN")</f>
        <v>PROFIL ANSEHEN</v>
      </c>
    </row>
    <row r="1311" spans="1:12" x14ac:dyDescent="0.2">
      <c r="A1311" t="s">
        <v>5445</v>
      </c>
      <c r="B1311" t="s">
        <v>5446</v>
      </c>
      <c r="C1311" t="s">
        <v>1812</v>
      </c>
      <c r="E1311" t="s">
        <v>5447</v>
      </c>
      <c r="F1311">
        <v>4900</v>
      </c>
      <c r="G1311" t="s">
        <v>41</v>
      </c>
      <c r="H1311" t="s">
        <v>16</v>
      </c>
      <c r="I1311" t="s">
        <v>3876</v>
      </c>
      <c r="J1311" t="s">
        <v>3877</v>
      </c>
      <c r="K1311" t="s">
        <v>1809</v>
      </c>
      <c r="L1311" t="str">
        <f>HYPERLINK("https://business-monitor.ch/de/companies/213253-rahmen-und-buecherwerkstatt-frau-carmen-mebes?utm_source=oberaargau","PROFIL ANSEHEN")</f>
        <v>PROFIL ANSEHEN</v>
      </c>
    </row>
    <row r="1312" spans="1:12" x14ac:dyDescent="0.2">
      <c r="A1312" t="s">
        <v>4140</v>
      </c>
      <c r="B1312" t="s">
        <v>4141</v>
      </c>
      <c r="C1312" t="s">
        <v>202</v>
      </c>
      <c r="E1312" t="s">
        <v>11605</v>
      </c>
      <c r="F1312">
        <v>4537</v>
      </c>
      <c r="G1312" t="s">
        <v>113</v>
      </c>
      <c r="H1312" t="s">
        <v>16</v>
      </c>
      <c r="I1312" t="s">
        <v>3493</v>
      </c>
      <c r="J1312" t="s">
        <v>3494</v>
      </c>
      <c r="K1312" t="s">
        <v>1809</v>
      </c>
      <c r="L1312" t="str">
        <f>HYPERLINK("https://business-monitor.ch/de/companies/1027547-lemar-consulting-gmbh?utm_source=oberaargau","PROFIL ANSEHEN")</f>
        <v>PROFIL ANSEHEN</v>
      </c>
    </row>
    <row r="1313" spans="1:12" x14ac:dyDescent="0.2">
      <c r="A1313" t="s">
        <v>3501</v>
      </c>
      <c r="B1313" t="s">
        <v>3502</v>
      </c>
      <c r="C1313" t="s">
        <v>13</v>
      </c>
      <c r="E1313" t="s">
        <v>14449</v>
      </c>
      <c r="F1313">
        <v>4937</v>
      </c>
      <c r="G1313" t="s">
        <v>951</v>
      </c>
      <c r="H1313" t="s">
        <v>16</v>
      </c>
      <c r="I1313" t="s">
        <v>653</v>
      </c>
      <c r="J1313" t="s">
        <v>654</v>
      </c>
      <c r="K1313" t="s">
        <v>1809</v>
      </c>
      <c r="L1313" t="str">
        <f>HYPERLINK("https://business-monitor.ch/de/companies/159314-walter-sohm-ag?utm_source=oberaargau","PROFIL ANSEHEN")</f>
        <v>PROFIL ANSEHEN</v>
      </c>
    </row>
    <row r="1314" spans="1:12" x14ac:dyDescent="0.2">
      <c r="A1314" t="s">
        <v>4036</v>
      </c>
      <c r="B1314" t="s">
        <v>4037</v>
      </c>
      <c r="C1314" t="s">
        <v>202</v>
      </c>
      <c r="E1314" t="s">
        <v>4038</v>
      </c>
      <c r="F1314">
        <v>3360</v>
      </c>
      <c r="G1314" t="s">
        <v>35</v>
      </c>
      <c r="H1314" t="s">
        <v>16</v>
      </c>
      <c r="I1314" t="s">
        <v>4039</v>
      </c>
      <c r="J1314" t="s">
        <v>4040</v>
      </c>
      <c r="K1314" t="s">
        <v>1809</v>
      </c>
      <c r="L1314" t="str">
        <f>HYPERLINK("https://business-monitor.ch/de/companies/1046793-sante-lady-fitness-gmbh?utm_source=oberaargau","PROFIL ANSEHEN")</f>
        <v>PROFIL ANSEHEN</v>
      </c>
    </row>
    <row r="1315" spans="1:12" x14ac:dyDescent="0.2">
      <c r="A1315" t="s">
        <v>5991</v>
      </c>
      <c r="B1315" t="s">
        <v>12547</v>
      </c>
      <c r="C1315" t="s">
        <v>202</v>
      </c>
      <c r="E1315" t="s">
        <v>5992</v>
      </c>
      <c r="F1315">
        <v>4923</v>
      </c>
      <c r="G1315" t="s">
        <v>732</v>
      </c>
      <c r="H1315" t="s">
        <v>16</v>
      </c>
      <c r="I1315" t="s">
        <v>824</v>
      </c>
      <c r="J1315" t="s">
        <v>825</v>
      </c>
      <c r="K1315" t="s">
        <v>1809</v>
      </c>
      <c r="L1315" t="str">
        <f>HYPERLINK("https://business-monitor.ch/de/companies/1072403-mister-kings-gmbh?utm_source=oberaargau","PROFIL ANSEHEN")</f>
        <v>PROFIL ANSEHEN</v>
      </c>
    </row>
    <row r="1316" spans="1:12" x14ac:dyDescent="0.2">
      <c r="A1316" t="s">
        <v>337</v>
      </c>
      <c r="B1316" t="s">
        <v>13505</v>
      </c>
      <c r="C1316" t="s">
        <v>13</v>
      </c>
      <c r="E1316" t="s">
        <v>13273</v>
      </c>
      <c r="F1316">
        <v>4950</v>
      </c>
      <c r="G1316" t="s">
        <v>15</v>
      </c>
      <c r="H1316" t="s">
        <v>16</v>
      </c>
      <c r="I1316" t="s">
        <v>153</v>
      </c>
      <c r="J1316" t="s">
        <v>154</v>
      </c>
      <c r="K1316" t="s">
        <v>1809</v>
      </c>
      <c r="L1316" t="str">
        <f>HYPERLINK("https://business-monitor.ch/de/companies/183362-mcc-tec-ag?utm_source=oberaargau","PROFIL ANSEHEN")</f>
        <v>PROFIL ANSEHEN</v>
      </c>
    </row>
    <row r="1317" spans="1:12" x14ac:dyDescent="0.2">
      <c r="A1317" t="s">
        <v>14303</v>
      </c>
      <c r="B1317" t="s">
        <v>14106</v>
      </c>
      <c r="C1317" t="s">
        <v>1812</v>
      </c>
      <c r="E1317" t="s">
        <v>13341</v>
      </c>
      <c r="F1317">
        <v>3362</v>
      </c>
      <c r="G1317" t="s">
        <v>47</v>
      </c>
      <c r="H1317" t="s">
        <v>16</v>
      </c>
      <c r="I1317" t="s">
        <v>642</v>
      </c>
      <c r="J1317" t="s">
        <v>643</v>
      </c>
      <c r="K1317" t="s">
        <v>1809</v>
      </c>
      <c r="L1317" t="str">
        <f>HYPERLINK("https://business-monitor.ch/de/companies/1293272-mocra-automobile-palushi?utm_source=oberaargau","PROFIL ANSEHEN")</f>
        <v>PROFIL ANSEHEN</v>
      </c>
    </row>
    <row r="1318" spans="1:12" x14ac:dyDescent="0.2">
      <c r="A1318" t="s">
        <v>5521</v>
      </c>
      <c r="B1318" t="s">
        <v>14278</v>
      </c>
      <c r="C1318" t="s">
        <v>1812</v>
      </c>
      <c r="E1318" t="s">
        <v>14279</v>
      </c>
      <c r="F1318">
        <v>4937</v>
      </c>
      <c r="G1318" t="s">
        <v>951</v>
      </c>
      <c r="H1318" t="s">
        <v>16</v>
      </c>
      <c r="I1318" t="s">
        <v>5522</v>
      </c>
      <c r="J1318" t="s">
        <v>5523</v>
      </c>
      <c r="K1318" t="s">
        <v>1809</v>
      </c>
      <c r="L1318" t="str">
        <f>HYPERLINK("https://business-monitor.ch/de/companies/100420-hirsere-roger-duss?utm_source=oberaargau","PROFIL ANSEHEN")</f>
        <v>PROFIL ANSEHEN</v>
      </c>
    </row>
    <row r="1319" spans="1:12" x14ac:dyDescent="0.2">
      <c r="A1319" t="s">
        <v>8279</v>
      </c>
      <c r="B1319" t="s">
        <v>8280</v>
      </c>
      <c r="C1319" t="s">
        <v>1812</v>
      </c>
      <c r="E1319" t="s">
        <v>910</v>
      </c>
      <c r="F1319">
        <v>4934</v>
      </c>
      <c r="G1319" t="s">
        <v>670</v>
      </c>
      <c r="H1319" t="s">
        <v>16</v>
      </c>
      <c r="I1319" t="s">
        <v>1401</v>
      </c>
      <c r="J1319" t="s">
        <v>1402</v>
      </c>
      <c r="K1319" t="s">
        <v>1809</v>
      </c>
      <c r="L1319" t="str">
        <f>HYPERLINK("https://business-monitor.ch/de/companies/1070842-blueetemehr-inh-roethlisberger?utm_source=oberaargau","PROFIL ANSEHEN")</f>
        <v>PROFIL ANSEHEN</v>
      </c>
    </row>
    <row r="1320" spans="1:12" x14ac:dyDescent="0.2">
      <c r="A1320" t="s">
        <v>10027</v>
      </c>
      <c r="B1320" t="s">
        <v>10028</v>
      </c>
      <c r="C1320" t="s">
        <v>202</v>
      </c>
      <c r="E1320" t="s">
        <v>9785</v>
      </c>
      <c r="F1320">
        <v>4950</v>
      </c>
      <c r="G1320" t="s">
        <v>15</v>
      </c>
      <c r="H1320" t="s">
        <v>16</v>
      </c>
      <c r="I1320" t="s">
        <v>565</v>
      </c>
      <c r="J1320" t="s">
        <v>566</v>
      </c>
      <c r="K1320" t="s">
        <v>1809</v>
      </c>
      <c r="L1320" t="str">
        <f>HYPERLINK("https://business-monitor.ch/de/companies/702982-baeckerei-konditorei-birrer-gmbh?utm_source=oberaargau","PROFIL ANSEHEN")</f>
        <v>PROFIL ANSEHEN</v>
      </c>
    </row>
    <row r="1321" spans="1:12" x14ac:dyDescent="0.2">
      <c r="A1321" t="s">
        <v>9239</v>
      </c>
      <c r="B1321" t="s">
        <v>9240</v>
      </c>
      <c r="C1321" t="s">
        <v>202</v>
      </c>
      <c r="E1321" t="s">
        <v>9241</v>
      </c>
      <c r="F1321">
        <v>4900</v>
      </c>
      <c r="G1321" t="s">
        <v>41</v>
      </c>
      <c r="H1321" t="s">
        <v>16</v>
      </c>
      <c r="I1321" t="s">
        <v>2440</v>
      </c>
      <c r="J1321" t="s">
        <v>2441</v>
      </c>
      <c r="K1321" t="s">
        <v>1809</v>
      </c>
      <c r="L1321" t="str">
        <f>HYPERLINK("https://business-monitor.ch/de/companies/122103-terratex-gmbh?utm_source=oberaargau","PROFIL ANSEHEN")</f>
        <v>PROFIL ANSEHEN</v>
      </c>
    </row>
    <row r="1322" spans="1:12" x14ac:dyDescent="0.2">
      <c r="A1322" t="s">
        <v>3457</v>
      </c>
      <c r="B1322" t="s">
        <v>3458</v>
      </c>
      <c r="C1322" t="s">
        <v>1812</v>
      </c>
      <c r="E1322" t="s">
        <v>3459</v>
      </c>
      <c r="F1322">
        <v>4912</v>
      </c>
      <c r="G1322" t="s">
        <v>64</v>
      </c>
      <c r="H1322" t="s">
        <v>16</v>
      </c>
      <c r="I1322" t="s">
        <v>1409</v>
      </c>
      <c r="J1322" t="s">
        <v>1410</v>
      </c>
      <c r="K1322" t="s">
        <v>1809</v>
      </c>
      <c r="L1322" t="str">
        <f>HYPERLINK("https://business-monitor.ch/de/companies/171442-thomas-hofer?utm_source=oberaargau","PROFIL ANSEHEN")</f>
        <v>PROFIL ANSEHEN</v>
      </c>
    </row>
    <row r="1323" spans="1:12" x14ac:dyDescent="0.2">
      <c r="A1323" t="s">
        <v>8338</v>
      </c>
      <c r="B1323" t="s">
        <v>8339</v>
      </c>
      <c r="C1323" t="s">
        <v>1922</v>
      </c>
      <c r="F1323">
        <v>4938</v>
      </c>
      <c r="G1323" t="s">
        <v>618</v>
      </c>
      <c r="H1323" t="s">
        <v>16</v>
      </c>
      <c r="I1323" t="s">
        <v>2116</v>
      </c>
      <c r="J1323" t="s">
        <v>2117</v>
      </c>
      <c r="K1323" t="s">
        <v>1809</v>
      </c>
      <c r="L1323" t="str">
        <f>HYPERLINK("https://business-monitor.ch/de/companies/255213-personalvorsorgestiftung-der-zaugg-ag-rohrbach?utm_source=oberaargau","PROFIL ANSEHEN")</f>
        <v>PROFIL ANSEHEN</v>
      </c>
    </row>
    <row r="1324" spans="1:12" x14ac:dyDescent="0.2">
      <c r="A1324" t="s">
        <v>8201</v>
      </c>
      <c r="B1324" t="s">
        <v>9195</v>
      </c>
      <c r="C1324" t="s">
        <v>13</v>
      </c>
      <c r="E1324" t="s">
        <v>4565</v>
      </c>
      <c r="F1324">
        <v>4900</v>
      </c>
      <c r="G1324" t="s">
        <v>41</v>
      </c>
      <c r="H1324" t="s">
        <v>16</v>
      </c>
      <c r="I1324" t="s">
        <v>2019</v>
      </c>
      <c r="J1324" t="s">
        <v>2020</v>
      </c>
      <c r="K1324" t="s">
        <v>1809</v>
      </c>
      <c r="L1324" t="str">
        <f>HYPERLINK("https://business-monitor.ch/de/companies/152977-laederach-lagersysteme-ag?utm_source=oberaargau","PROFIL ANSEHEN")</f>
        <v>PROFIL ANSEHEN</v>
      </c>
    </row>
    <row r="1325" spans="1:12" x14ac:dyDescent="0.2">
      <c r="A1325" t="s">
        <v>6929</v>
      </c>
      <c r="B1325" t="s">
        <v>6930</v>
      </c>
      <c r="C1325" t="s">
        <v>1812</v>
      </c>
      <c r="E1325" t="s">
        <v>3730</v>
      </c>
      <c r="F1325">
        <v>4924</v>
      </c>
      <c r="G1325" t="s">
        <v>3727</v>
      </c>
      <c r="H1325" t="s">
        <v>16</v>
      </c>
      <c r="I1325" t="s">
        <v>624</v>
      </c>
      <c r="J1325" t="s">
        <v>625</v>
      </c>
      <c r="K1325" t="s">
        <v>1809</v>
      </c>
      <c r="L1325" t="str">
        <f>HYPERLINK("https://business-monitor.ch/de/companies/177443-hansrudolf-jordi-zimmerei?utm_source=oberaargau","PROFIL ANSEHEN")</f>
        <v>PROFIL ANSEHEN</v>
      </c>
    </row>
    <row r="1326" spans="1:12" x14ac:dyDescent="0.2">
      <c r="A1326" t="s">
        <v>14050</v>
      </c>
      <c r="B1326" t="s">
        <v>14051</v>
      </c>
      <c r="C1326" t="s">
        <v>13</v>
      </c>
      <c r="D1326" t="s">
        <v>14052</v>
      </c>
      <c r="E1326" t="s">
        <v>4509</v>
      </c>
      <c r="F1326">
        <v>4950</v>
      </c>
      <c r="G1326" t="s">
        <v>15</v>
      </c>
      <c r="H1326" t="s">
        <v>16</v>
      </c>
      <c r="I1326" t="s">
        <v>186</v>
      </c>
      <c r="J1326" t="s">
        <v>187</v>
      </c>
      <c r="K1326" t="s">
        <v>1809</v>
      </c>
      <c r="L1326" t="str">
        <f>HYPERLINK("https://business-monitor.ch/de/companies/1279304-davun-holding-ag?utm_source=oberaargau","PROFIL ANSEHEN")</f>
        <v>PROFIL ANSEHEN</v>
      </c>
    </row>
    <row r="1327" spans="1:12" x14ac:dyDescent="0.2">
      <c r="A1327" t="s">
        <v>8986</v>
      </c>
      <c r="B1327" t="s">
        <v>8987</v>
      </c>
      <c r="C1327" t="s">
        <v>13</v>
      </c>
      <c r="D1327" t="s">
        <v>2887</v>
      </c>
      <c r="F1327">
        <v>3368</v>
      </c>
      <c r="G1327" t="s">
        <v>308</v>
      </c>
      <c r="H1327" t="s">
        <v>16</v>
      </c>
      <c r="I1327" t="s">
        <v>693</v>
      </c>
      <c r="J1327" t="s">
        <v>694</v>
      </c>
      <c r="K1327" t="s">
        <v>1809</v>
      </c>
      <c r="L1327" t="str">
        <f>HYPERLINK("https://business-monitor.ch/de/companies/247148-starbase-ag?utm_source=oberaargau","PROFIL ANSEHEN")</f>
        <v>PROFIL ANSEHEN</v>
      </c>
    </row>
    <row r="1328" spans="1:12" x14ac:dyDescent="0.2">
      <c r="A1328" t="s">
        <v>14450</v>
      </c>
      <c r="B1328" t="s">
        <v>14451</v>
      </c>
      <c r="C1328" t="s">
        <v>202</v>
      </c>
      <c r="E1328" t="s">
        <v>4596</v>
      </c>
      <c r="F1328">
        <v>3360</v>
      </c>
      <c r="G1328" t="s">
        <v>35</v>
      </c>
      <c r="H1328" t="s">
        <v>16</v>
      </c>
      <c r="I1328" t="s">
        <v>2226</v>
      </c>
      <c r="J1328" t="s">
        <v>2227</v>
      </c>
      <c r="K1328" t="s">
        <v>1809</v>
      </c>
      <c r="L1328" t="str">
        <f>HYPERLINK("https://business-monitor.ch/de/companies/1298702-theraprax-gmbh?utm_source=oberaargau","PROFIL ANSEHEN")</f>
        <v>PROFIL ANSEHEN</v>
      </c>
    </row>
    <row r="1329" spans="1:12" x14ac:dyDescent="0.2">
      <c r="A1329" t="s">
        <v>6609</v>
      </c>
      <c r="B1329" t="s">
        <v>6610</v>
      </c>
      <c r="C1329" t="s">
        <v>13</v>
      </c>
      <c r="E1329" t="s">
        <v>6611</v>
      </c>
      <c r="F1329">
        <v>4950</v>
      </c>
      <c r="G1329" t="s">
        <v>15</v>
      </c>
      <c r="H1329" t="s">
        <v>16</v>
      </c>
      <c r="I1329" t="s">
        <v>587</v>
      </c>
      <c r="J1329" t="s">
        <v>588</v>
      </c>
      <c r="K1329" t="s">
        <v>1809</v>
      </c>
      <c r="L1329" t="str">
        <f>HYPERLINK("https://business-monitor.ch/de/companies/202897-mathys-h-r-ag?utm_source=oberaargau","PROFIL ANSEHEN")</f>
        <v>PROFIL ANSEHEN</v>
      </c>
    </row>
    <row r="1330" spans="1:12" x14ac:dyDescent="0.2">
      <c r="A1330" t="s">
        <v>10029</v>
      </c>
      <c r="B1330" t="s">
        <v>10030</v>
      </c>
      <c r="C1330" t="s">
        <v>202</v>
      </c>
      <c r="E1330" t="s">
        <v>10031</v>
      </c>
      <c r="F1330">
        <v>3376</v>
      </c>
      <c r="G1330" t="s">
        <v>2012</v>
      </c>
      <c r="H1330" t="s">
        <v>16</v>
      </c>
      <c r="I1330" t="s">
        <v>854</v>
      </c>
      <c r="J1330" t="s">
        <v>855</v>
      </c>
      <c r="K1330" t="s">
        <v>1809</v>
      </c>
      <c r="L1330" t="str">
        <f>HYPERLINK("https://business-monitor.ch/de/companies/702974-lightnet-multimedia-gmbh?utm_source=oberaargau","PROFIL ANSEHEN")</f>
        <v>PROFIL ANSEHEN</v>
      </c>
    </row>
    <row r="1331" spans="1:12" x14ac:dyDescent="0.2">
      <c r="A1331" t="s">
        <v>12350</v>
      </c>
      <c r="B1331" t="s">
        <v>12351</v>
      </c>
      <c r="C1331" t="s">
        <v>1812</v>
      </c>
      <c r="E1331" t="s">
        <v>9821</v>
      </c>
      <c r="F1331">
        <v>4950</v>
      </c>
      <c r="G1331" t="s">
        <v>15</v>
      </c>
      <c r="H1331" t="s">
        <v>16</v>
      </c>
      <c r="I1331" t="s">
        <v>824</v>
      </c>
      <c r="J1331" t="s">
        <v>825</v>
      </c>
      <c r="K1331" t="s">
        <v>1809</v>
      </c>
      <c r="L1331" t="str">
        <f>HYPERLINK("https://business-monitor.ch/de/companies/1193538-new-majmoon-fastfood-inh-hatice-tank?utm_source=oberaargau","PROFIL ANSEHEN")</f>
        <v>PROFIL ANSEHEN</v>
      </c>
    </row>
    <row r="1332" spans="1:12" x14ac:dyDescent="0.2">
      <c r="A1332" t="s">
        <v>7978</v>
      </c>
      <c r="B1332" t="s">
        <v>7979</v>
      </c>
      <c r="C1332" t="s">
        <v>13</v>
      </c>
      <c r="E1332" t="s">
        <v>7980</v>
      </c>
      <c r="F1332">
        <v>3380</v>
      </c>
      <c r="G1332" t="s">
        <v>29</v>
      </c>
      <c r="H1332" t="s">
        <v>16</v>
      </c>
      <c r="I1332" t="s">
        <v>5333</v>
      </c>
      <c r="J1332" t="s">
        <v>5334</v>
      </c>
      <c r="K1332" t="s">
        <v>1809</v>
      </c>
      <c r="L1332" t="str">
        <f>HYPERLINK("https://business-monitor.ch/de/companies/188397-norfi-umwelttechnik-ag?utm_source=oberaargau","PROFIL ANSEHEN")</f>
        <v>PROFIL ANSEHEN</v>
      </c>
    </row>
    <row r="1333" spans="1:12" x14ac:dyDescent="0.2">
      <c r="A1333" t="s">
        <v>12496</v>
      </c>
      <c r="B1333" t="s">
        <v>12497</v>
      </c>
      <c r="C1333" t="s">
        <v>202</v>
      </c>
      <c r="E1333" t="s">
        <v>12283</v>
      </c>
      <c r="F1333">
        <v>4900</v>
      </c>
      <c r="G1333" t="s">
        <v>41</v>
      </c>
      <c r="H1333" t="s">
        <v>16</v>
      </c>
      <c r="I1333" t="s">
        <v>3861</v>
      </c>
      <c r="J1333" t="s">
        <v>3862</v>
      </c>
      <c r="K1333" t="s">
        <v>1809</v>
      </c>
      <c r="L1333" t="str">
        <f>HYPERLINK("https://business-monitor.ch/de/companies/1210291-flexanesth-gmbh?utm_source=oberaargau","PROFIL ANSEHEN")</f>
        <v>PROFIL ANSEHEN</v>
      </c>
    </row>
    <row r="1334" spans="1:12" x14ac:dyDescent="0.2">
      <c r="A1334" t="s">
        <v>14452</v>
      </c>
      <c r="B1334" t="s">
        <v>14453</v>
      </c>
      <c r="C1334" t="s">
        <v>13</v>
      </c>
      <c r="E1334" t="s">
        <v>7910</v>
      </c>
      <c r="F1334">
        <v>4923</v>
      </c>
      <c r="G1334" t="s">
        <v>732</v>
      </c>
      <c r="H1334" t="s">
        <v>16</v>
      </c>
      <c r="I1334" t="s">
        <v>260</v>
      </c>
      <c r="J1334" t="s">
        <v>261</v>
      </c>
      <c r="K1334" t="s">
        <v>1809</v>
      </c>
      <c r="L1334" t="str">
        <f>HYPERLINK("https://business-monitor.ch/de/companies/1170576-implex-generalunternehmung-ag?utm_source=oberaargau","PROFIL ANSEHEN")</f>
        <v>PROFIL ANSEHEN</v>
      </c>
    </row>
    <row r="1335" spans="1:12" x14ac:dyDescent="0.2">
      <c r="A1335" t="s">
        <v>10780</v>
      </c>
      <c r="B1335" t="s">
        <v>10781</v>
      </c>
      <c r="C1335" t="s">
        <v>202</v>
      </c>
      <c r="E1335" t="s">
        <v>10782</v>
      </c>
      <c r="F1335">
        <v>3372</v>
      </c>
      <c r="G1335" t="s">
        <v>2120</v>
      </c>
      <c r="H1335" t="s">
        <v>16</v>
      </c>
      <c r="I1335" t="s">
        <v>906</v>
      </c>
      <c r="J1335" t="s">
        <v>907</v>
      </c>
      <c r="K1335" t="s">
        <v>1809</v>
      </c>
      <c r="L1335" t="str">
        <f>HYPERLINK("https://business-monitor.ch/de/companies/1099798-riba-immobilien-gmbh?utm_source=oberaargau","PROFIL ANSEHEN")</f>
        <v>PROFIL ANSEHEN</v>
      </c>
    </row>
    <row r="1336" spans="1:12" x14ac:dyDescent="0.2">
      <c r="A1336" t="s">
        <v>6833</v>
      </c>
      <c r="B1336" t="s">
        <v>6834</v>
      </c>
      <c r="C1336" t="s">
        <v>84</v>
      </c>
      <c r="D1336" t="s">
        <v>6835</v>
      </c>
      <c r="E1336" t="s">
        <v>6836</v>
      </c>
      <c r="F1336">
        <v>4914</v>
      </c>
      <c r="G1336" t="s">
        <v>105</v>
      </c>
      <c r="H1336" t="s">
        <v>16</v>
      </c>
      <c r="I1336" t="s">
        <v>906</v>
      </c>
      <c r="J1336" t="s">
        <v>907</v>
      </c>
      <c r="K1336" t="s">
        <v>1809</v>
      </c>
      <c r="L1336" t="str">
        <f>HYPERLINK("https://business-monitor.ch/de/companies/64527-genossenschaft-alterswohnungen-bim-spycher?utm_source=oberaargau","PROFIL ANSEHEN")</f>
        <v>PROFIL ANSEHEN</v>
      </c>
    </row>
    <row r="1337" spans="1:12" x14ac:dyDescent="0.2">
      <c r="A1337" t="s">
        <v>12821</v>
      </c>
      <c r="B1337" t="s">
        <v>12822</v>
      </c>
      <c r="C1337" t="s">
        <v>1812</v>
      </c>
      <c r="E1337" t="s">
        <v>10547</v>
      </c>
      <c r="F1337">
        <v>3360</v>
      </c>
      <c r="G1337" t="s">
        <v>35</v>
      </c>
      <c r="H1337" t="s">
        <v>16</v>
      </c>
      <c r="I1337" t="s">
        <v>237</v>
      </c>
      <c r="J1337" t="s">
        <v>238</v>
      </c>
      <c r="K1337" t="s">
        <v>1809</v>
      </c>
      <c r="L1337" t="str">
        <f>HYPERLINK("https://business-monitor.ch/de/companies/1222073-honig-traum-p-rewucha?utm_source=oberaargau","PROFIL ANSEHEN")</f>
        <v>PROFIL ANSEHEN</v>
      </c>
    </row>
    <row r="1338" spans="1:12" x14ac:dyDescent="0.2">
      <c r="A1338" t="s">
        <v>11378</v>
      </c>
      <c r="B1338" t="s">
        <v>11379</v>
      </c>
      <c r="C1338" t="s">
        <v>202</v>
      </c>
      <c r="E1338" t="s">
        <v>11380</v>
      </c>
      <c r="F1338">
        <v>4704</v>
      </c>
      <c r="G1338" t="s">
        <v>221</v>
      </c>
      <c r="H1338" t="s">
        <v>16</v>
      </c>
      <c r="I1338" t="s">
        <v>464</v>
      </c>
      <c r="J1338" t="s">
        <v>465</v>
      </c>
      <c r="K1338" t="s">
        <v>1809</v>
      </c>
      <c r="L1338" t="str">
        <f>HYPERLINK("https://business-monitor.ch/de/companies/1137359-dmk-transport-gmbh?utm_source=oberaargau","PROFIL ANSEHEN")</f>
        <v>PROFIL ANSEHEN</v>
      </c>
    </row>
    <row r="1339" spans="1:12" x14ac:dyDescent="0.2">
      <c r="A1339" t="s">
        <v>14454</v>
      </c>
      <c r="B1339" t="s">
        <v>14455</v>
      </c>
      <c r="C1339" t="s">
        <v>202</v>
      </c>
      <c r="E1339" t="s">
        <v>14456</v>
      </c>
      <c r="F1339">
        <v>4942</v>
      </c>
      <c r="G1339" t="s">
        <v>1287</v>
      </c>
      <c r="H1339" t="s">
        <v>16</v>
      </c>
      <c r="I1339" t="s">
        <v>1296</v>
      </c>
      <c r="J1339" t="s">
        <v>1297</v>
      </c>
      <c r="K1339" t="s">
        <v>1809</v>
      </c>
      <c r="L1339" t="str">
        <f>HYPERLINK("https://business-monitor.ch/de/companies/1298665-agrar-business-leidenschaft-gmbh?utm_source=oberaargau","PROFIL ANSEHEN")</f>
        <v>PROFIL ANSEHEN</v>
      </c>
    </row>
    <row r="1340" spans="1:12" x14ac:dyDescent="0.2">
      <c r="A1340" t="s">
        <v>9357</v>
      </c>
      <c r="B1340" t="s">
        <v>9358</v>
      </c>
      <c r="C1340" t="s">
        <v>84</v>
      </c>
      <c r="D1340" t="s">
        <v>11185</v>
      </c>
      <c r="E1340" t="s">
        <v>11186</v>
      </c>
      <c r="F1340">
        <v>4952</v>
      </c>
      <c r="G1340" t="s">
        <v>474</v>
      </c>
      <c r="H1340" t="s">
        <v>16</v>
      </c>
      <c r="I1340" t="s">
        <v>906</v>
      </c>
      <c r="J1340" t="s">
        <v>907</v>
      </c>
      <c r="K1340" t="s">
        <v>1809</v>
      </c>
      <c r="L1340" t="str">
        <f>HYPERLINK("https://business-monitor.ch/de/companies/70685-alp-genossenschaft-ahorn?utm_source=oberaargau","PROFIL ANSEHEN")</f>
        <v>PROFIL ANSEHEN</v>
      </c>
    </row>
    <row r="1341" spans="1:12" x14ac:dyDescent="0.2">
      <c r="A1341" t="s">
        <v>8043</v>
      </c>
      <c r="B1341" t="s">
        <v>8044</v>
      </c>
      <c r="C1341" t="s">
        <v>1812</v>
      </c>
      <c r="E1341" t="s">
        <v>947</v>
      </c>
      <c r="F1341">
        <v>4900</v>
      </c>
      <c r="G1341" t="s">
        <v>41</v>
      </c>
      <c r="H1341" t="s">
        <v>16</v>
      </c>
      <c r="I1341" t="s">
        <v>1855</v>
      </c>
      <c r="J1341" t="s">
        <v>1856</v>
      </c>
      <c r="K1341" t="s">
        <v>1809</v>
      </c>
      <c r="L1341" t="str">
        <f>HYPERLINK("https://business-monitor.ch/de/companies/347810-andrea-grau-cosmetic?utm_source=oberaargau","PROFIL ANSEHEN")</f>
        <v>PROFIL ANSEHEN</v>
      </c>
    </row>
    <row r="1342" spans="1:12" x14ac:dyDescent="0.2">
      <c r="A1342" t="s">
        <v>11282</v>
      </c>
      <c r="B1342" t="s">
        <v>11283</v>
      </c>
      <c r="C1342" t="s">
        <v>202</v>
      </c>
      <c r="E1342" t="s">
        <v>4262</v>
      </c>
      <c r="F1342">
        <v>4900</v>
      </c>
      <c r="G1342" t="s">
        <v>41</v>
      </c>
      <c r="H1342" t="s">
        <v>16</v>
      </c>
      <c r="I1342" t="s">
        <v>182</v>
      </c>
      <c r="J1342" t="s">
        <v>183</v>
      </c>
      <c r="K1342" t="s">
        <v>1809</v>
      </c>
      <c r="L1342" t="str">
        <f>HYPERLINK("https://business-monitor.ch/de/companies/12768-star-line-service-holding-gmbh?utm_source=oberaargau","PROFIL ANSEHEN")</f>
        <v>PROFIL ANSEHEN</v>
      </c>
    </row>
    <row r="1343" spans="1:12" x14ac:dyDescent="0.2">
      <c r="A1343" t="s">
        <v>10339</v>
      </c>
      <c r="B1343" t="s">
        <v>10340</v>
      </c>
      <c r="C1343" t="s">
        <v>202</v>
      </c>
      <c r="E1343" t="s">
        <v>628</v>
      </c>
      <c r="F1343">
        <v>4537</v>
      </c>
      <c r="G1343" t="s">
        <v>113</v>
      </c>
      <c r="H1343" t="s">
        <v>16</v>
      </c>
      <c r="I1343" t="s">
        <v>10341</v>
      </c>
      <c r="J1343" t="s">
        <v>10342</v>
      </c>
      <c r="K1343" t="s">
        <v>1809</v>
      </c>
      <c r="L1343" t="str">
        <f>HYPERLINK("https://business-monitor.ch/de/companies/544038-infrafox-gmbh?utm_source=oberaargau","PROFIL ANSEHEN")</f>
        <v>PROFIL ANSEHEN</v>
      </c>
    </row>
    <row r="1344" spans="1:12" x14ac:dyDescent="0.2">
      <c r="A1344" t="s">
        <v>7415</v>
      </c>
      <c r="B1344" t="s">
        <v>7416</v>
      </c>
      <c r="C1344" t="s">
        <v>202</v>
      </c>
      <c r="E1344" t="s">
        <v>4265</v>
      </c>
      <c r="F1344">
        <v>4704</v>
      </c>
      <c r="G1344" t="s">
        <v>221</v>
      </c>
      <c r="H1344" t="s">
        <v>16</v>
      </c>
      <c r="I1344" t="s">
        <v>1865</v>
      </c>
      <c r="J1344" t="s">
        <v>1866</v>
      </c>
      <c r="K1344" t="s">
        <v>1809</v>
      </c>
      <c r="L1344" t="str">
        <f>HYPERLINK("https://business-monitor.ch/de/companies/958098-buchfink-gmbh?utm_source=oberaargau","PROFIL ANSEHEN")</f>
        <v>PROFIL ANSEHEN</v>
      </c>
    </row>
    <row r="1345" spans="1:12" x14ac:dyDescent="0.2">
      <c r="A1345" t="s">
        <v>2771</v>
      </c>
      <c r="B1345" t="s">
        <v>2772</v>
      </c>
      <c r="C1345" t="s">
        <v>13</v>
      </c>
      <c r="E1345" t="s">
        <v>2773</v>
      </c>
      <c r="F1345">
        <v>4704</v>
      </c>
      <c r="G1345" t="s">
        <v>221</v>
      </c>
      <c r="H1345" t="s">
        <v>16</v>
      </c>
      <c r="I1345" t="s">
        <v>935</v>
      </c>
      <c r="J1345" t="s">
        <v>936</v>
      </c>
      <c r="K1345" t="s">
        <v>1809</v>
      </c>
      <c r="L1345" t="str">
        <f>HYPERLINK("https://business-monitor.ch/de/companies/173627-w-haudenschild-liegenschaften-ag?utm_source=oberaargau","PROFIL ANSEHEN")</f>
        <v>PROFIL ANSEHEN</v>
      </c>
    </row>
    <row r="1346" spans="1:12" x14ac:dyDescent="0.2">
      <c r="A1346" t="s">
        <v>2822</v>
      </c>
      <c r="B1346" t="s">
        <v>2823</v>
      </c>
      <c r="C1346" t="s">
        <v>1812</v>
      </c>
      <c r="E1346" t="s">
        <v>2824</v>
      </c>
      <c r="F1346">
        <v>4538</v>
      </c>
      <c r="G1346" t="s">
        <v>71</v>
      </c>
      <c r="H1346" t="s">
        <v>16</v>
      </c>
      <c r="I1346" t="s">
        <v>340</v>
      </c>
      <c r="J1346" t="s">
        <v>341</v>
      </c>
      <c r="K1346" t="s">
        <v>1809</v>
      </c>
      <c r="L1346" t="str">
        <f>HYPERLINK("https://business-monitor.ch/de/companies/422541-push-n-go-mertens?utm_source=oberaargau","PROFIL ANSEHEN")</f>
        <v>PROFIL ANSEHEN</v>
      </c>
    </row>
    <row r="1347" spans="1:12" x14ac:dyDescent="0.2">
      <c r="A1347" t="s">
        <v>12937</v>
      </c>
      <c r="B1347" t="s">
        <v>12938</v>
      </c>
      <c r="C1347" t="s">
        <v>1812</v>
      </c>
      <c r="E1347" t="s">
        <v>12939</v>
      </c>
      <c r="F1347">
        <v>4900</v>
      </c>
      <c r="G1347" t="s">
        <v>41</v>
      </c>
      <c r="H1347" t="s">
        <v>16</v>
      </c>
      <c r="I1347" t="s">
        <v>2050</v>
      </c>
      <c r="J1347" t="s">
        <v>2051</v>
      </c>
      <c r="K1347" t="s">
        <v>1809</v>
      </c>
      <c r="L1347" t="str">
        <f>HYPERLINK("https://business-monitor.ch/de/companies/1215928-hr-outlet-und-liquidationen-owner-hans-peter-richard?utm_source=oberaargau","PROFIL ANSEHEN")</f>
        <v>PROFIL ANSEHEN</v>
      </c>
    </row>
    <row r="1348" spans="1:12" x14ac:dyDescent="0.2">
      <c r="A1348" t="s">
        <v>12175</v>
      </c>
      <c r="B1348" t="s">
        <v>12176</v>
      </c>
      <c r="C1348" t="s">
        <v>202</v>
      </c>
      <c r="E1348" t="s">
        <v>12177</v>
      </c>
      <c r="F1348">
        <v>3380</v>
      </c>
      <c r="G1348" t="s">
        <v>29</v>
      </c>
      <c r="H1348" t="s">
        <v>16</v>
      </c>
      <c r="I1348" t="s">
        <v>134</v>
      </c>
      <c r="J1348" t="s">
        <v>135</v>
      </c>
      <c r="K1348" t="s">
        <v>1809</v>
      </c>
      <c r="L1348" t="str">
        <f>HYPERLINK("https://business-monitor.ch/de/companies/1185865-elpv-gmbh?utm_source=oberaargau","PROFIL ANSEHEN")</f>
        <v>PROFIL ANSEHEN</v>
      </c>
    </row>
    <row r="1349" spans="1:12" x14ac:dyDescent="0.2">
      <c r="A1349" t="s">
        <v>14185</v>
      </c>
      <c r="B1349" t="s">
        <v>14186</v>
      </c>
      <c r="C1349" t="s">
        <v>202</v>
      </c>
      <c r="E1349" t="s">
        <v>14187</v>
      </c>
      <c r="F1349">
        <v>4952</v>
      </c>
      <c r="G1349" t="s">
        <v>474</v>
      </c>
      <c r="H1349" t="s">
        <v>16</v>
      </c>
      <c r="I1349" t="s">
        <v>77</v>
      </c>
      <c r="J1349" t="s">
        <v>78</v>
      </c>
      <c r="K1349" t="s">
        <v>1809</v>
      </c>
      <c r="L1349" t="str">
        <f>HYPERLINK("https://business-monitor.ch/de/companies/1285123-rewue-bau-gmbh?utm_source=oberaargau","PROFIL ANSEHEN")</f>
        <v>PROFIL ANSEHEN</v>
      </c>
    </row>
    <row r="1350" spans="1:12" x14ac:dyDescent="0.2">
      <c r="A1350" t="s">
        <v>13012</v>
      </c>
      <c r="B1350" t="s">
        <v>13013</v>
      </c>
      <c r="C1350" t="s">
        <v>202</v>
      </c>
      <c r="E1350" t="s">
        <v>11616</v>
      </c>
      <c r="F1350">
        <v>3360</v>
      </c>
      <c r="G1350" t="s">
        <v>35</v>
      </c>
      <c r="H1350" t="s">
        <v>16</v>
      </c>
      <c r="I1350" t="s">
        <v>77</v>
      </c>
      <c r="J1350" t="s">
        <v>78</v>
      </c>
      <c r="K1350" t="s">
        <v>1809</v>
      </c>
      <c r="L1350" t="str">
        <f>HYPERLINK("https://business-monitor.ch/de/companies/1241607-buchsi-bau-gmbh?utm_source=oberaargau","PROFIL ANSEHEN")</f>
        <v>PROFIL ANSEHEN</v>
      </c>
    </row>
    <row r="1351" spans="1:12" x14ac:dyDescent="0.2">
      <c r="A1351" t="s">
        <v>12792</v>
      </c>
      <c r="B1351" t="s">
        <v>12793</v>
      </c>
      <c r="C1351" t="s">
        <v>13</v>
      </c>
      <c r="E1351" t="s">
        <v>4148</v>
      </c>
      <c r="F1351">
        <v>4900</v>
      </c>
      <c r="G1351" t="s">
        <v>41</v>
      </c>
      <c r="H1351" t="s">
        <v>16</v>
      </c>
      <c r="I1351" t="s">
        <v>1171</v>
      </c>
      <c r="J1351" t="s">
        <v>1172</v>
      </c>
      <c r="K1351" t="s">
        <v>1809</v>
      </c>
      <c r="L1351" t="str">
        <f>HYPERLINK("https://business-monitor.ch/de/companies/246567-4insiders-langenthal-ag?utm_source=oberaargau","PROFIL ANSEHEN")</f>
        <v>PROFIL ANSEHEN</v>
      </c>
    </row>
    <row r="1352" spans="1:12" x14ac:dyDescent="0.2">
      <c r="A1352" t="s">
        <v>9403</v>
      </c>
      <c r="B1352" t="s">
        <v>9404</v>
      </c>
      <c r="C1352" t="s">
        <v>13</v>
      </c>
      <c r="E1352" t="s">
        <v>6844</v>
      </c>
      <c r="F1352">
        <v>4900</v>
      </c>
      <c r="G1352" t="s">
        <v>41</v>
      </c>
      <c r="H1352" t="s">
        <v>16</v>
      </c>
      <c r="I1352" t="s">
        <v>935</v>
      </c>
      <c r="J1352" t="s">
        <v>936</v>
      </c>
      <c r="K1352" t="s">
        <v>1809</v>
      </c>
      <c r="L1352" t="str">
        <f>HYPERLINK("https://business-monitor.ch/de/companies/43546-bernhard-invest-ag?utm_source=oberaargau","PROFIL ANSEHEN")</f>
        <v>PROFIL ANSEHEN</v>
      </c>
    </row>
    <row r="1353" spans="1:12" x14ac:dyDescent="0.2">
      <c r="A1353" t="s">
        <v>11290</v>
      </c>
      <c r="B1353" t="s">
        <v>11291</v>
      </c>
      <c r="C1353" t="s">
        <v>202</v>
      </c>
      <c r="E1353" t="s">
        <v>2693</v>
      </c>
      <c r="F1353">
        <v>4900</v>
      </c>
      <c r="G1353" t="s">
        <v>41</v>
      </c>
      <c r="H1353" t="s">
        <v>16</v>
      </c>
      <c r="I1353" t="s">
        <v>1841</v>
      </c>
      <c r="J1353" t="s">
        <v>1842</v>
      </c>
      <c r="K1353" t="s">
        <v>1809</v>
      </c>
      <c r="L1353" t="str">
        <f>HYPERLINK("https://business-monitor.ch/de/companies/284876-ergotherapie-markus-schuepbach-gmbh?utm_source=oberaargau","PROFIL ANSEHEN")</f>
        <v>PROFIL ANSEHEN</v>
      </c>
    </row>
    <row r="1354" spans="1:12" x14ac:dyDescent="0.2">
      <c r="A1354" t="s">
        <v>9058</v>
      </c>
      <c r="B1354" t="s">
        <v>9059</v>
      </c>
      <c r="C1354" t="s">
        <v>202</v>
      </c>
      <c r="E1354" t="s">
        <v>14188</v>
      </c>
      <c r="F1354">
        <v>4936</v>
      </c>
      <c r="G1354" t="s">
        <v>768</v>
      </c>
      <c r="H1354" t="s">
        <v>16</v>
      </c>
      <c r="I1354" t="s">
        <v>4729</v>
      </c>
      <c r="J1354" t="s">
        <v>4730</v>
      </c>
      <c r="K1354" t="s">
        <v>1809</v>
      </c>
      <c r="L1354" t="str">
        <f>HYPERLINK("https://business-monitor.ch/de/companies/190553-autohilfe-bonani-gmbh?utm_source=oberaargau","PROFIL ANSEHEN")</f>
        <v>PROFIL ANSEHEN</v>
      </c>
    </row>
    <row r="1355" spans="1:12" x14ac:dyDescent="0.2">
      <c r="A1355" t="s">
        <v>4680</v>
      </c>
      <c r="B1355" t="s">
        <v>4681</v>
      </c>
      <c r="C1355" t="s">
        <v>13</v>
      </c>
      <c r="E1355" t="s">
        <v>4512</v>
      </c>
      <c r="F1355">
        <v>4704</v>
      </c>
      <c r="G1355" t="s">
        <v>221</v>
      </c>
      <c r="H1355" t="s">
        <v>16</v>
      </c>
      <c r="I1355" t="s">
        <v>4682</v>
      </c>
      <c r="J1355" t="s">
        <v>4683</v>
      </c>
      <c r="K1355" t="s">
        <v>1809</v>
      </c>
      <c r="L1355" t="str">
        <f>HYPERLINK("https://business-monitor.ch/de/companies/610517-amadental-ag?utm_source=oberaargau","PROFIL ANSEHEN")</f>
        <v>PROFIL ANSEHEN</v>
      </c>
    </row>
    <row r="1356" spans="1:12" x14ac:dyDescent="0.2">
      <c r="A1356" t="s">
        <v>11454</v>
      </c>
      <c r="B1356" t="s">
        <v>11455</v>
      </c>
      <c r="C1356" t="s">
        <v>202</v>
      </c>
      <c r="E1356" t="s">
        <v>11456</v>
      </c>
      <c r="F1356">
        <v>4900</v>
      </c>
      <c r="G1356" t="s">
        <v>41</v>
      </c>
      <c r="H1356" t="s">
        <v>16</v>
      </c>
      <c r="I1356" t="s">
        <v>4213</v>
      </c>
      <c r="J1356" t="s">
        <v>4214</v>
      </c>
      <c r="K1356" t="s">
        <v>1809</v>
      </c>
      <c r="L1356" t="str">
        <f>HYPERLINK("https://business-monitor.ch/de/companies/1138510-entfalten-gmbh?utm_source=oberaargau","PROFIL ANSEHEN")</f>
        <v>PROFIL ANSEHEN</v>
      </c>
    </row>
    <row r="1357" spans="1:12" x14ac:dyDescent="0.2">
      <c r="A1357" t="s">
        <v>8317</v>
      </c>
      <c r="B1357" t="s">
        <v>8318</v>
      </c>
      <c r="C1357" t="s">
        <v>1812</v>
      </c>
      <c r="E1357" t="s">
        <v>8319</v>
      </c>
      <c r="F1357">
        <v>4950</v>
      </c>
      <c r="G1357" t="s">
        <v>15</v>
      </c>
      <c r="H1357" t="s">
        <v>16</v>
      </c>
      <c r="I1357" t="s">
        <v>2555</v>
      </c>
      <c r="J1357" t="s">
        <v>2556</v>
      </c>
      <c r="K1357" t="s">
        <v>1809</v>
      </c>
      <c r="L1357" t="str">
        <f>HYPERLINK("https://business-monitor.ch/de/companies/379598-oetzibaer-funk-service-lehmann?utm_source=oberaargau","PROFIL ANSEHEN")</f>
        <v>PROFIL ANSEHEN</v>
      </c>
    </row>
    <row r="1358" spans="1:12" x14ac:dyDescent="0.2">
      <c r="A1358" t="s">
        <v>2144</v>
      </c>
      <c r="B1358" t="s">
        <v>2145</v>
      </c>
      <c r="C1358" t="s">
        <v>202</v>
      </c>
      <c r="D1358" t="s">
        <v>2146</v>
      </c>
      <c r="E1358" t="s">
        <v>2147</v>
      </c>
      <c r="F1358">
        <v>4952</v>
      </c>
      <c r="G1358" t="s">
        <v>474</v>
      </c>
      <c r="H1358" t="s">
        <v>16</v>
      </c>
      <c r="I1358" t="s">
        <v>5658</v>
      </c>
      <c r="J1358" t="s">
        <v>5659</v>
      </c>
      <c r="K1358" t="s">
        <v>1809</v>
      </c>
      <c r="L1358" t="str">
        <f>HYPERLINK("https://business-monitor.ch/de/companies/1084524-mauerhofer-anhaenger-gmbh?utm_source=oberaargau","PROFIL ANSEHEN")</f>
        <v>PROFIL ANSEHEN</v>
      </c>
    </row>
    <row r="1359" spans="1:12" x14ac:dyDescent="0.2">
      <c r="A1359" t="s">
        <v>14113</v>
      </c>
      <c r="B1359" t="s">
        <v>14114</v>
      </c>
      <c r="C1359" t="s">
        <v>13</v>
      </c>
      <c r="D1359" t="s">
        <v>14115</v>
      </c>
      <c r="E1359" t="s">
        <v>14116</v>
      </c>
      <c r="F1359">
        <v>4932</v>
      </c>
      <c r="G1359" t="s">
        <v>325</v>
      </c>
      <c r="H1359" t="s">
        <v>16</v>
      </c>
      <c r="I1359" t="s">
        <v>186</v>
      </c>
      <c r="J1359" t="s">
        <v>187</v>
      </c>
      <c r="K1359" t="s">
        <v>1809</v>
      </c>
      <c r="L1359" t="str">
        <f>HYPERLINK("https://business-monitor.ch/de/companies/1295642-awesi-holding-ag?utm_source=oberaargau","PROFIL ANSEHEN")</f>
        <v>PROFIL ANSEHEN</v>
      </c>
    </row>
    <row r="1360" spans="1:12" x14ac:dyDescent="0.2">
      <c r="A1360" t="s">
        <v>5660</v>
      </c>
      <c r="B1360" t="s">
        <v>5661</v>
      </c>
      <c r="C1360" t="s">
        <v>13</v>
      </c>
      <c r="E1360" t="s">
        <v>5662</v>
      </c>
      <c r="F1360">
        <v>4900</v>
      </c>
      <c r="G1360" t="s">
        <v>41</v>
      </c>
      <c r="H1360" t="s">
        <v>16</v>
      </c>
      <c r="I1360" t="s">
        <v>1607</v>
      </c>
      <c r="J1360" t="s">
        <v>1608</v>
      </c>
      <c r="K1360" t="s">
        <v>1809</v>
      </c>
      <c r="L1360" t="str">
        <f>HYPERLINK("https://business-monitor.ch/de/companies/228340-anderegg-baumschulen-ag?utm_source=oberaargau","PROFIL ANSEHEN")</f>
        <v>PROFIL ANSEHEN</v>
      </c>
    </row>
    <row r="1361" spans="1:12" x14ac:dyDescent="0.2">
      <c r="A1361" t="s">
        <v>10646</v>
      </c>
      <c r="B1361" t="s">
        <v>10647</v>
      </c>
      <c r="C1361" t="s">
        <v>13</v>
      </c>
      <c r="E1361" t="s">
        <v>81</v>
      </c>
      <c r="F1361">
        <v>3360</v>
      </c>
      <c r="G1361" t="s">
        <v>35</v>
      </c>
      <c r="H1361" t="s">
        <v>16</v>
      </c>
      <c r="I1361" t="s">
        <v>917</v>
      </c>
      <c r="J1361" t="s">
        <v>918</v>
      </c>
      <c r="K1361" t="s">
        <v>1809</v>
      </c>
      <c r="L1361" t="str">
        <f>HYPERLINK("https://business-monitor.ch/de/companies/1078551-devisol-ag?utm_source=oberaargau","PROFIL ANSEHEN")</f>
        <v>PROFIL ANSEHEN</v>
      </c>
    </row>
    <row r="1362" spans="1:12" x14ac:dyDescent="0.2">
      <c r="A1362" t="s">
        <v>14141</v>
      </c>
      <c r="B1362" t="s">
        <v>14142</v>
      </c>
      <c r="C1362" t="s">
        <v>202</v>
      </c>
      <c r="D1362" t="s">
        <v>9675</v>
      </c>
      <c r="E1362" t="s">
        <v>14143</v>
      </c>
      <c r="F1362">
        <v>4900</v>
      </c>
      <c r="G1362" t="s">
        <v>41</v>
      </c>
      <c r="H1362" t="s">
        <v>16</v>
      </c>
      <c r="I1362" t="s">
        <v>186</v>
      </c>
      <c r="J1362" t="s">
        <v>187</v>
      </c>
      <c r="K1362" t="s">
        <v>1809</v>
      </c>
      <c r="L1362" t="str">
        <f>HYPERLINK("https://business-monitor.ch/de/companies/1291968-yaniron-gmbh?utm_source=oberaargau","PROFIL ANSEHEN")</f>
        <v>PROFIL ANSEHEN</v>
      </c>
    </row>
    <row r="1363" spans="1:12" x14ac:dyDescent="0.2">
      <c r="A1363" t="s">
        <v>12650</v>
      </c>
      <c r="B1363" t="s">
        <v>10149</v>
      </c>
      <c r="C1363" t="s">
        <v>13</v>
      </c>
      <c r="E1363" t="s">
        <v>8267</v>
      </c>
      <c r="F1363">
        <v>4704</v>
      </c>
      <c r="G1363" t="s">
        <v>221</v>
      </c>
      <c r="H1363" t="s">
        <v>16</v>
      </c>
      <c r="I1363" t="s">
        <v>1446</v>
      </c>
      <c r="J1363" t="s">
        <v>1447</v>
      </c>
      <c r="K1363" t="s">
        <v>1809</v>
      </c>
      <c r="L1363" t="str">
        <f>HYPERLINK("https://business-monitor.ch/de/companies/1214531-anderegg-haustechnik-ag?utm_source=oberaargau","PROFIL ANSEHEN")</f>
        <v>PROFIL ANSEHEN</v>
      </c>
    </row>
    <row r="1364" spans="1:12" x14ac:dyDescent="0.2">
      <c r="A1364" t="s">
        <v>14457</v>
      </c>
      <c r="B1364" t="s">
        <v>14458</v>
      </c>
      <c r="C1364" t="s">
        <v>13</v>
      </c>
      <c r="E1364" t="s">
        <v>1200</v>
      </c>
      <c r="F1364">
        <v>4900</v>
      </c>
      <c r="G1364" t="s">
        <v>41</v>
      </c>
      <c r="H1364" t="s">
        <v>16</v>
      </c>
      <c r="I1364" t="s">
        <v>966</v>
      </c>
      <c r="J1364" t="s">
        <v>967</v>
      </c>
      <c r="K1364" t="s">
        <v>1809</v>
      </c>
      <c r="L1364" t="str">
        <f>HYPERLINK("https://business-monitor.ch/de/companies/602602-navin-ag?utm_source=oberaargau","PROFIL ANSEHEN")</f>
        <v>PROFIL ANSEHEN</v>
      </c>
    </row>
    <row r="1365" spans="1:12" x14ac:dyDescent="0.2">
      <c r="A1365" t="s">
        <v>2160</v>
      </c>
      <c r="B1365" t="s">
        <v>2161</v>
      </c>
      <c r="C1365" t="s">
        <v>1922</v>
      </c>
      <c r="D1365" t="s">
        <v>2115</v>
      </c>
      <c r="E1365" t="s">
        <v>179</v>
      </c>
      <c r="F1365">
        <v>4900</v>
      </c>
      <c r="G1365" t="s">
        <v>41</v>
      </c>
      <c r="H1365" t="s">
        <v>16</v>
      </c>
      <c r="I1365" t="s">
        <v>2116</v>
      </c>
      <c r="J1365" t="s">
        <v>2117</v>
      </c>
      <c r="K1365" t="s">
        <v>1809</v>
      </c>
      <c r="L1365" t="str">
        <f>HYPERLINK("https://business-monitor.ch/de/companies/254313-pensionskasse-der-ammann-unternehmungen?utm_source=oberaargau","PROFIL ANSEHEN")</f>
        <v>PROFIL ANSEHEN</v>
      </c>
    </row>
    <row r="1366" spans="1:12" x14ac:dyDescent="0.2">
      <c r="A1366" t="s">
        <v>8971</v>
      </c>
      <c r="B1366" t="s">
        <v>8972</v>
      </c>
      <c r="C1366" t="s">
        <v>1922</v>
      </c>
      <c r="D1366" t="s">
        <v>8337</v>
      </c>
      <c r="E1366" t="s">
        <v>129</v>
      </c>
      <c r="F1366">
        <v>4900</v>
      </c>
      <c r="G1366" t="s">
        <v>41</v>
      </c>
      <c r="H1366" t="s">
        <v>16</v>
      </c>
      <c r="I1366" t="s">
        <v>2116</v>
      </c>
      <c r="J1366" t="s">
        <v>2117</v>
      </c>
      <c r="K1366" t="s">
        <v>1809</v>
      </c>
      <c r="L1366" t="str">
        <f>HYPERLINK("https://business-monitor.ch/de/companies/254371-stiftung-willy-baumann?utm_source=oberaargau","PROFIL ANSEHEN")</f>
        <v>PROFIL ANSEHEN</v>
      </c>
    </row>
    <row r="1367" spans="1:12" x14ac:dyDescent="0.2">
      <c r="A1367" t="s">
        <v>13333</v>
      </c>
      <c r="B1367" t="s">
        <v>13334</v>
      </c>
      <c r="C1367" t="s">
        <v>1812</v>
      </c>
      <c r="E1367" t="s">
        <v>13335</v>
      </c>
      <c r="F1367">
        <v>3365</v>
      </c>
      <c r="G1367" t="s">
        <v>2390</v>
      </c>
      <c r="H1367" t="s">
        <v>16</v>
      </c>
      <c r="I1367" t="s">
        <v>642</v>
      </c>
      <c r="J1367" t="s">
        <v>643</v>
      </c>
      <c r="K1367" t="s">
        <v>1809</v>
      </c>
      <c r="L1367" t="str">
        <f>HYPERLINK("https://business-monitor.ch/de/companies/1069728-yourconceptcar-patrick-lerch?utm_source=oberaargau","PROFIL ANSEHEN")</f>
        <v>PROFIL ANSEHEN</v>
      </c>
    </row>
    <row r="1368" spans="1:12" x14ac:dyDescent="0.2">
      <c r="A1368" t="s">
        <v>10771</v>
      </c>
      <c r="B1368" t="s">
        <v>10772</v>
      </c>
      <c r="C1368" t="s">
        <v>1812</v>
      </c>
      <c r="E1368" t="s">
        <v>2297</v>
      </c>
      <c r="F1368">
        <v>4537</v>
      </c>
      <c r="G1368" t="s">
        <v>113</v>
      </c>
      <c r="H1368" t="s">
        <v>16</v>
      </c>
      <c r="I1368" t="s">
        <v>733</v>
      </c>
      <c r="J1368" t="s">
        <v>734</v>
      </c>
      <c r="K1368" t="s">
        <v>1809</v>
      </c>
      <c r="L1368" t="str">
        <f>HYPERLINK("https://business-monitor.ch/de/companies/1111485-rd-car-trading-inh-radosavljevic?utm_source=oberaargau","PROFIL ANSEHEN")</f>
        <v>PROFIL ANSEHEN</v>
      </c>
    </row>
    <row r="1369" spans="1:12" x14ac:dyDescent="0.2">
      <c r="A1369" t="s">
        <v>9917</v>
      </c>
      <c r="B1369" t="s">
        <v>9918</v>
      </c>
      <c r="C1369" t="s">
        <v>13</v>
      </c>
      <c r="D1369" t="s">
        <v>9919</v>
      </c>
      <c r="E1369" t="s">
        <v>5803</v>
      </c>
      <c r="F1369">
        <v>3380</v>
      </c>
      <c r="G1369" t="s">
        <v>29</v>
      </c>
      <c r="H1369" t="s">
        <v>16</v>
      </c>
      <c r="I1369" t="s">
        <v>182</v>
      </c>
      <c r="J1369" t="s">
        <v>183</v>
      </c>
      <c r="K1369" t="s">
        <v>1809</v>
      </c>
      <c r="L1369" t="str">
        <f>HYPERLINK("https://business-monitor.ch/de/companies/960539-hk-holding-ag?utm_source=oberaargau","PROFIL ANSEHEN")</f>
        <v>PROFIL ANSEHEN</v>
      </c>
    </row>
    <row r="1370" spans="1:12" x14ac:dyDescent="0.2">
      <c r="A1370" t="s">
        <v>13486</v>
      </c>
      <c r="B1370" t="s">
        <v>13487</v>
      </c>
      <c r="C1370" t="s">
        <v>1812</v>
      </c>
      <c r="E1370" t="s">
        <v>13488</v>
      </c>
      <c r="F1370">
        <v>4704</v>
      </c>
      <c r="G1370" t="s">
        <v>221</v>
      </c>
      <c r="H1370" t="s">
        <v>16</v>
      </c>
      <c r="I1370" t="s">
        <v>2226</v>
      </c>
      <c r="J1370" t="s">
        <v>2227</v>
      </c>
      <c r="K1370" t="s">
        <v>1809</v>
      </c>
      <c r="L1370" t="str">
        <f>HYPERLINK("https://business-monitor.ch/de/companies/1245844-xundheits-mech-inh-welss?utm_source=oberaargau","PROFIL ANSEHEN")</f>
        <v>PROFIL ANSEHEN</v>
      </c>
    </row>
    <row r="1371" spans="1:12" x14ac:dyDescent="0.2">
      <c r="A1371" t="s">
        <v>5330</v>
      </c>
      <c r="B1371" t="s">
        <v>5331</v>
      </c>
      <c r="C1371" t="s">
        <v>2178</v>
      </c>
      <c r="E1371" t="s">
        <v>5332</v>
      </c>
      <c r="F1371">
        <v>4900</v>
      </c>
      <c r="G1371" t="s">
        <v>41</v>
      </c>
      <c r="H1371" t="s">
        <v>16</v>
      </c>
      <c r="I1371" t="s">
        <v>5333</v>
      </c>
      <c r="J1371" t="s">
        <v>5334</v>
      </c>
      <c r="K1371" t="s">
        <v>1809</v>
      </c>
      <c r="L1371" t="str">
        <f>HYPERLINK("https://business-monitor.ch/de/companies/466433-trunz-luftkanalsysteme-ag?utm_source=oberaargau","PROFIL ANSEHEN")</f>
        <v>PROFIL ANSEHEN</v>
      </c>
    </row>
    <row r="1372" spans="1:12" x14ac:dyDescent="0.2">
      <c r="A1372" t="s">
        <v>10315</v>
      </c>
      <c r="B1372" t="s">
        <v>10316</v>
      </c>
      <c r="C1372" t="s">
        <v>202</v>
      </c>
      <c r="E1372" t="s">
        <v>10317</v>
      </c>
      <c r="F1372">
        <v>4900</v>
      </c>
      <c r="G1372" t="s">
        <v>41</v>
      </c>
      <c r="H1372" t="s">
        <v>16</v>
      </c>
      <c r="I1372" t="s">
        <v>854</v>
      </c>
      <c r="J1372" t="s">
        <v>855</v>
      </c>
      <c r="K1372" t="s">
        <v>1809</v>
      </c>
      <c r="L1372" t="str">
        <f>HYPERLINK("https://business-monitor.ch/de/companies/555811-pluess-production-gmbh?utm_source=oberaargau","PROFIL ANSEHEN")</f>
        <v>PROFIL ANSEHEN</v>
      </c>
    </row>
    <row r="1373" spans="1:12" x14ac:dyDescent="0.2">
      <c r="A1373" t="s">
        <v>8882</v>
      </c>
      <c r="B1373" t="s">
        <v>8883</v>
      </c>
      <c r="C1373" t="s">
        <v>13</v>
      </c>
      <c r="D1373" t="s">
        <v>8884</v>
      </c>
      <c r="E1373" t="s">
        <v>4954</v>
      </c>
      <c r="F1373">
        <v>4912</v>
      </c>
      <c r="G1373" t="s">
        <v>64</v>
      </c>
      <c r="H1373" t="s">
        <v>16</v>
      </c>
      <c r="I1373" t="s">
        <v>186</v>
      </c>
      <c r="J1373" t="s">
        <v>187</v>
      </c>
      <c r="K1373" t="s">
        <v>1809</v>
      </c>
      <c r="L1373" t="str">
        <f>HYPERLINK("https://business-monitor.ch/de/companies/307744-auto-center-flueckiger-holding-ag?utm_source=oberaargau","PROFIL ANSEHEN")</f>
        <v>PROFIL ANSEHEN</v>
      </c>
    </row>
    <row r="1374" spans="1:12" x14ac:dyDescent="0.2">
      <c r="A1374" t="s">
        <v>5708</v>
      </c>
      <c r="B1374" t="s">
        <v>5709</v>
      </c>
      <c r="C1374" t="s">
        <v>1812</v>
      </c>
      <c r="E1374" t="s">
        <v>5710</v>
      </c>
      <c r="F1374">
        <v>4922</v>
      </c>
      <c r="G1374" t="s">
        <v>1318</v>
      </c>
      <c r="H1374" t="s">
        <v>16</v>
      </c>
      <c r="I1374" t="s">
        <v>2192</v>
      </c>
      <c r="J1374" t="s">
        <v>2193</v>
      </c>
      <c r="K1374" t="s">
        <v>1809</v>
      </c>
      <c r="L1374" t="str">
        <f>HYPERLINK("https://business-monitor.ch/de/companies/101332-tuma-jaroslav-ivan?utm_source=oberaargau","PROFIL ANSEHEN")</f>
        <v>PROFIL ANSEHEN</v>
      </c>
    </row>
    <row r="1375" spans="1:12" x14ac:dyDescent="0.2">
      <c r="A1375" t="s">
        <v>13997</v>
      </c>
      <c r="B1375" t="s">
        <v>13998</v>
      </c>
      <c r="C1375" t="s">
        <v>1812</v>
      </c>
      <c r="E1375" t="s">
        <v>13999</v>
      </c>
      <c r="F1375">
        <v>4912</v>
      </c>
      <c r="G1375" t="s">
        <v>64</v>
      </c>
      <c r="H1375" t="s">
        <v>16</v>
      </c>
      <c r="I1375" t="s">
        <v>340</v>
      </c>
      <c r="J1375" t="s">
        <v>341</v>
      </c>
      <c r="K1375" t="s">
        <v>1809</v>
      </c>
      <c r="L1375" t="str">
        <f>HYPERLINK("https://business-monitor.ch/de/companies/1095222-kehrle-trading?utm_source=oberaargau","PROFIL ANSEHEN")</f>
        <v>PROFIL ANSEHEN</v>
      </c>
    </row>
    <row r="1376" spans="1:12" x14ac:dyDescent="0.2">
      <c r="A1376" t="s">
        <v>5725</v>
      </c>
      <c r="B1376" t="s">
        <v>5726</v>
      </c>
      <c r="C1376" t="s">
        <v>202</v>
      </c>
      <c r="E1376" t="s">
        <v>1547</v>
      </c>
      <c r="F1376">
        <v>4900</v>
      </c>
      <c r="G1376" t="s">
        <v>41</v>
      </c>
      <c r="H1376" t="s">
        <v>16</v>
      </c>
      <c r="I1376" t="s">
        <v>335</v>
      </c>
      <c r="J1376" t="s">
        <v>336</v>
      </c>
      <c r="K1376" t="s">
        <v>1809</v>
      </c>
      <c r="L1376" t="str">
        <f>HYPERLINK("https://business-monitor.ch/de/companies/56614-x-light-sound-veranstaltungstechnik-gmbh?utm_source=oberaargau","PROFIL ANSEHEN")</f>
        <v>PROFIL ANSEHEN</v>
      </c>
    </row>
    <row r="1377" spans="1:12" x14ac:dyDescent="0.2">
      <c r="A1377" t="s">
        <v>7568</v>
      </c>
      <c r="B1377" t="s">
        <v>7569</v>
      </c>
      <c r="C1377" t="s">
        <v>202</v>
      </c>
      <c r="D1377" t="s">
        <v>7570</v>
      </c>
      <c r="E1377" t="s">
        <v>7571</v>
      </c>
      <c r="F1377">
        <v>4922</v>
      </c>
      <c r="G1377" t="s">
        <v>99</v>
      </c>
      <c r="H1377" t="s">
        <v>16</v>
      </c>
      <c r="I1377" t="s">
        <v>1062</v>
      </c>
      <c r="J1377" t="s">
        <v>1063</v>
      </c>
      <c r="K1377" t="s">
        <v>1809</v>
      </c>
      <c r="L1377" t="str">
        <f>HYPERLINK("https://business-monitor.ch/de/companies/688153-leo-bodenbelaege-gmbh?utm_source=oberaargau","PROFIL ANSEHEN")</f>
        <v>PROFIL ANSEHEN</v>
      </c>
    </row>
    <row r="1378" spans="1:12" x14ac:dyDescent="0.2">
      <c r="A1378" t="s">
        <v>1814</v>
      </c>
      <c r="B1378" t="s">
        <v>1815</v>
      </c>
      <c r="C1378" t="s">
        <v>13</v>
      </c>
      <c r="D1378" t="s">
        <v>1816</v>
      </c>
      <c r="E1378" t="s">
        <v>129</v>
      </c>
      <c r="F1378">
        <v>4900</v>
      </c>
      <c r="G1378" t="s">
        <v>41</v>
      </c>
      <c r="H1378" t="s">
        <v>16</v>
      </c>
      <c r="I1378" t="s">
        <v>182</v>
      </c>
      <c r="J1378" t="s">
        <v>183</v>
      </c>
      <c r="K1378" t="s">
        <v>1809</v>
      </c>
      <c r="L1378" t="str">
        <f>HYPERLINK("https://business-monitor.ch/de/companies/412-lantal-superco-ag?utm_source=oberaargau","PROFIL ANSEHEN")</f>
        <v>PROFIL ANSEHEN</v>
      </c>
    </row>
    <row r="1379" spans="1:12" x14ac:dyDescent="0.2">
      <c r="A1379" t="s">
        <v>3403</v>
      </c>
      <c r="B1379" t="s">
        <v>3404</v>
      </c>
      <c r="C1379" t="s">
        <v>13</v>
      </c>
      <c r="E1379" t="s">
        <v>3405</v>
      </c>
      <c r="F1379">
        <v>3380</v>
      </c>
      <c r="G1379" t="s">
        <v>29</v>
      </c>
      <c r="H1379" t="s">
        <v>16</v>
      </c>
      <c r="I1379" t="s">
        <v>1267</v>
      </c>
      <c r="J1379" t="s">
        <v>1268</v>
      </c>
      <c r="K1379" t="s">
        <v>1809</v>
      </c>
      <c r="L1379" t="str">
        <f>HYPERLINK("https://business-monitor.ch/de/companies/190386-gehrig-partner-ag?utm_source=oberaargau","PROFIL ANSEHEN")</f>
        <v>PROFIL ANSEHEN</v>
      </c>
    </row>
    <row r="1380" spans="1:12" x14ac:dyDescent="0.2">
      <c r="A1380" t="s">
        <v>9860</v>
      </c>
      <c r="B1380" t="s">
        <v>9861</v>
      </c>
      <c r="C1380" t="s">
        <v>202</v>
      </c>
      <c r="E1380" t="s">
        <v>6309</v>
      </c>
      <c r="F1380">
        <v>4922</v>
      </c>
      <c r="G1380" t="s">
        <v>99</v>
      </c>
      <c r="H1380" t="s">
        <v>16</v>
      </c>
      <c r="I1380" t="s">
        <v>182</v>
      </c>
      <c r="J1380" t="s">
        <v>183</v>
      </c>
      <c r="K1380" t="s">
        <v>1809</v>
      </c>
      <c r="L1380" t="str">
        <f>HYPERLINK("https://business-monitor.ch/de/companies/986671-hug-swiss-production-holding-gmbh?utm_source=oberaargau","PROFIL ANSEHEN")</f>
        <v>PROFIL ANSEHEN</v>
      </c>
    </row>
    <row r="1381" spans="1:12" x14ac:dyDescent="0.2">
      <c r="A1381" t="s">
        <v>11466</v>
      </c>
      <c r="B1381" t="s">
        <v>11467</v>
      </c>
      <c r="C1381" t="s">
        <v>1922</v>
      </c>
      <c r="D1381" t="s">
        <v>11468</v>
      </c>
      <c r="E1381" t="s">
        <v>3111</v>
      </c>
      <c r="F1381">
        <v>3380</v>
      </c>
      <c r="G1381" t="s">
        <v>29</v>
      </c>
      <c r="H1381" t="s">
        <v>16</v>
      </c>
      <c r="I1381" t="s">
        <v>2912</v>
      </c>
      <c r="J1381" t="s">
        <v>2913</v>
      </c>
      <c r="K1381" t="s">
        <v>1809</v>
      </c>
      <c r="L1381" t="str">
        <f>HYPERLINK("https://business-monitor.ch/de/companies/1140086-berchtold-fonds?utm_source=oberaargau","PROFIL ANSEHEN")</f>
        <v>PROFIL ANSEHEN</v>
      </c>
    </row>
    <row r="1382" spans="1:12" x14ac:dyDescent="0.2">
      <c r="A1382" t="s">
        <v>3585</v>
      </c>
      <c r="B1382" t="s">
        <v>3586</v>
      </c>
      <c r="C1382" t="s">
        <v>84</v>
      </c>
      <c r="E1382" t="s">
        <v>3587</v>
      </c>
      <c r="F1382">
        <v>3360</v>
      </c>
      <c r="G1382" t="s">
        <v>35</v>
      </c>
      <c r="H1382" t="s">
        <v>16</v>
      </c>
      <c r="I1382" t="s">
        <v>906</v>
      </c>
      <c r="J1382" t="s">
        <v>907</v>
      </c>
      <c r="K1382" t="s">
        <v>1809</v>
      </c>
      <c r="L1382" t="str">
        <f>HYPERLINK("https://business-monitor.ch/de/companies/106219-baugenossenschaft-jurablick-herzogenbuchsee?utm_source=oberaargau","PROFIL ANSEHEN")</f>
        <v>PROFIL ANSEHEN</v>
      </c>
    </row>
    <row r="1383" spans="1:12" x14ac:dyDescent="0.2">
      <c r="A1383" t="s">
        <v>4015</v>
      </c>
      <c r="B1383" t="s">
        <v>4016</v>
      </c>
      <c r="C1383" t="s">
        <v>202</v>
      </c>
      <c r="D1383" t="s">
        <v>4017</v>
      </c>
      <c r="E1383" t="s">
        <v>4018</v>
      </c>
      <c r="F1383">
        <v>4900</v>
      </c>
      <c r="G1383" t="s">
        <v>41</v>
      </c>
      <c r="H1383" t="s">
        <v>16</v>
      </c>
      <c r="I1383" t="s">
        <v>2706</v>
      </c>
      <c r="J1383" t="s">
        <v>2707</v>
      </c>
      <c r="K1383" t="s">
        <v>1809</v>
      </c>
      <c r="L1383" t="str">
        <f>HYPERLINK("https://business-monitor.ch/de/companies/599183-belena-gmbh?utm_source=oberaargau","PROFIL ANSEHEN")</f>
        <v>PROFIL ANSEHEN</v>
      </c>
    </row>
    <row r="1384" spans="1:12" x14ac:dyDescent="0.2">
      <c r="A1384" t="s">
        <v>11656</v>
      </c>
      <c r="B1384" t="s">
        <v>11657</v>
      </c>
      <c r="C1384" t="s">
        <v>202</v>
      </c>
      <c r="E1384" t="s">
        <v>11658</v>
      </c>
      <c r="F1384">
        <v>4912</v>
      </c>
      <c r="G1384" t="s">
        <v>64</v>
      </c>
      <c r="H1384" t="s">
        <v>16</v>
      </c>
      <c r="I1384" t="s">
        <v>1818</v>
      </c>
      <c r="J1384" t="s">
        <v>1819</v>
      </c>
      <c r="K1384" t="s">
        <v>1809</v>
      </c>
      <c r="L1384" t="str">
        <f>HYPERLINK("https://business-monitor.ch/de/companies/1157876-turtly-gmbh?utm_source=oberaargau","PROFIL ANSEHEN")</f>
        <v>PROFIL ANSEHEN</v>
      </c>
    </row>
    <row r="1385" spans="1:12" x14ac:dyDescent="0.2">
      <c r="A1385" t="s">
        <v>7256</v>
      </c>
      <c r="B1385" t="s">
        <v>7257</v>
      </c>
      <c r="C1385" t="s">
        <v>1812</v>
      </c>
      <c r="E1385" t="s">
        <v>7258</v>
      </c>
      <c r="F1385">
        <v>4900</v>
      </c>
      <c r="G1385" t="s">
        <v>41</v>
      </c>
      <c r="H1385" t="s">
        <v>16</v>
      </c>
      <c r="I1385" t="s">
        <v>2748</v>
      </c>
      <c r="J1385" t="s">
        <v>2749</v>
      </c>
      <c r="K1385" t="s">
        <v>1809</v>
      </c>
      <c r="L1385" t="str">
        <f>HYPERLINK("https://business-monitor.ch/de/companies/1017491-martin-ruetter-dogs-die-hundeschule-fuer-menschen-inh-claudia-nussbeck?utm_source=oberaargau","PROFIL ANSEHEN")</f>
        <v>PROFIL ANSEHEN</v>
      </c>
    </row>
    <row r="1386" spans="1:12" x14ac:dyDescent="0.2">
      <c r="A1386" t="s">
        <v>2637</v>
      </c>
      <c r="B1386" t="s">
        <v>2638</v>
      </c>
      <c r="C1386" t="s">
        <v>202</v>
      </c>
      <c r="E1386" t="s">
        <v>2639</v>
      </c>
      <c r="F1386">
        <v>4900</v>
      </c>
      <c r="G1386" t="s">
        <v>41</v>
      </c>
      <c r="H1386" t="s">
        <v>16</v>
      </c>
      <c r="I1386" t="s">
        <v>2640</v>
      </c>
      <c r="J1386" t="s">
        <v>2641</v>
      </c>
      <c r="K1386" t="s">
        <v>1809</v>
      </c>
      <c r="L1386" t="str">
        <f>HYPERLINK("https://business-monitor.ch/de/companies/491105-limesone-gmbh?utm_source=oberaargau","PROFIL ANSEHEN")</f>
        <v>PROFIL ANSEHEN</v>
      </c>
    </row>
    <row r="1387" spans="1:12" x14ac:dyDescent="0.2">
      <c r="A1387" t="s">
        <v>14459</v>
      </c>
      <c r="B1387" t="s">
        <v>14460</v>
      </c>
      <c r="C1387" t="s">
        <v>1812</v>
      </c>
      <c r="E1387" t="s">
        <v>14461</v>
      </c>
      <c r="F1387">
        <v>3380</v>
      </c>
      <c r="G1387" t="s">
        <v>29</v>
      </c>
      <c r="H1387" t="s">
        <v>16</v>
      </c>
      <c r="I1387" t="s">
        <v>4641</v>
      </c>
      <c r="J1387" t="s">
        <v>4642</v>
      </c>
      <c r="K1387" t="s">
        <v>1809</v>
      </c>
      <c r="L1387" t="str">
        <f>HYPERLINK("https://business-monitor.ch/de/companies/1300545-lauflust-ch-leuenberger?utm_source=oberaargau","PROFIL ANSEHEN")</f>
        <v>PROFIL ANSEHEN</v>
      </c>
    </row>
    <row r="1388" spans="1:12" x14ac:dyDescent="0.2">
      <c r="A1388" t="s">
        <v>3164</v>
      </c>
      <c r="B1388" t="s">
        <v>3165</v>
      </c>
      <c r="C1388" t="s">
        <v>13</v>
      </c>
      <c r="E1388" t="s">
        <v>3166</v>
      </c>
      <c r="F1388">
        <v>4900</v>
      </c>
      <c r="G1388" t="s">
        <v>41</v>
      </c>
      <c r="H1388" t="s">
        <v>16</v>
      </c>
      <c r="I1388" t="s">
        <v>935</v>
      </c>
      <c r="J1388" t="s">
        <v>936</v>
      </c>
      <c r="K1388" t="s">
        <v>1809</v>
      </c>
      <c r="L1388" t="str">
        <f>HYPERLINK("https://business-monitor.ch/de/companies/301069-ims-immobilien-multiservice-ag?utm_source=oberaargau","PROFIL ANSEHEN")</f>
        <v>PROFIL ANSEHEN</v>
      </c>
    </row>
    <row r="1389" spans="1:12" x14ac:dyDescent="0.2">
      <c r="A1389" t="s">
        <v>8718</v>
      </c>
      <c r="B1389" t="s">
        <v>8719</v>
      </c>
      <c r="C1389" t="s">
        <v>202</v>
      </c>
      <c r="E1389" t="s">
        <v>4158</v>
      </c>
      <c r="F1389">
        <v>4923</v>
      </c>
      <c r="G1389" t="s">
        <v>732</v>
      </c>
      <c r="H1389" t="s">
        <v>16</v>
      </c>
      <c r="I1389" t="s">
        <v>157</v>
      </c>
      <c r="J1389" t="s">
        <v>158</v>
      </c>
      <c r="K1389" t="s">
        <v>1809</v>
      </c>
      <c r="L1389" t="str">
        <f>HYPERLINK("https://business-monitor.ch/de/companies/393118-erni-partner-gmbh?utm_source=oberaargau","PROFIL ANSEHEN")</f>
        <v>PROFIL ANSEHEN</v>
      </c>
    </row>
    <row r="1390" spans="1:12" x14ac:dyDescent="0.2">
      <c r="A1390" t="s">
        <v>11308</v>
      </c>
      <c r="B1390" t="s">
        <v>11309</v>
      </c>
      <c r="C1390" t="s">
        <v>202</v>
      </c>
      <c r="E1390" t="s">
        <v>2705</v>
      </c>
      <c r="F1390">
        <v>4900</v>
      </c>
      <c r="G1390" t="s">
        <v>41</v>
      </c>
      <c r="H1390" t="s">
        <v>16</v>
      </c>
      <c r="I1390" t="s">
        <v>182</v>
      </c>
      <c r="J1390" t="s">
        <v>183</v>
      </c>
      <c r="K1390" t="s">
        <v>1809</v>
      </c>
      <c r="L1390" t="str">
        <f>HYPERLINK("https://business-monitor.ch/de/companies/1126873-rytz-romeo-holding-gmbh?utm_source=oberaargau","PROFIL ANSEHEN")</f>
        <v>PROFIL ANSEHEN</v>
      </c>
    </row>
    <row r="1391" spans="1:12" x14ac:dyDescent="0.2">
      <c r="A1391" t="s">
        <v>809</v>
      </c>
      <c r="B1391" t="s">
        <v>6641</v>
      </c>
      <c r="C1391" t="s">
        <v>13</v>
      </c>
      <c r="E1391" t="s">
        <v>6642</v>
      </c>
      <c r="F1391">
        <v>4923</v>
      </c>
      <c r="G1391" t="s">
        <v>732</v>
      </c>
      <c r="H1391" t="s">
        <v>16</v>
      </c>
      <c r="I1391" t="s">
        <v>298</v>
      </c>
      <c r="J1391" t="s">
        <v>299</v>
      </c>
      <c r="K1391" t="s">
        <v>1809</v>
      </c>
      <c r="L1391" t="str">
        <f>HYPERLINK("https://business-monitor.ch/de/companies/182594-siag-schwarz-ag?utm_source=oberaargau","PROFIL ANSEHEN")</f>
        <v>PROFIL ANSEHEN</v>
      </c>
    </row>
    <row r="1392" spans="1:12" x14ac:dyDescent="0.2">
      <c r="A1392" t="s">
        <v>7315</v>
      </c>
      <c r="B1392" t="s">
        <v>7316</v>
      </c>
      <c r="C1392" t="s">
        <v>202</v>
      </c>
      <c r="E1392" t="s">
        <v>14363</v>
      </c>
      <c r="F1392">
        <v>3368</v>
      </c>
      <c r="G1392" t="s">
        <v>308</v>
      </c>
      <c r="H1392" t="s">
        <v>16</v>
      </c>
      <c r="I1392" t="s">
        <v>1656</v>
      </c>
      <c r="J1392" t="s">
        <v>1657</v>
      </c>
      <c r="K1392" t="s">
        <v>1809</v>
      </c>
      <c r="L1392" t="str">
        <f>HYPERLINK("https://business-monitor.ch/de/companies/1003135-yetiflyers-gmbh?utm_source=oberaargau","PROFIL ANSEHEN")</f>
        <v>PROFIL ANSEHEN</v>
      </c>
    </row>
    <row r="1393" spans="1:12" x14ac:dyDescent="0.2">
      <c r="A1393" t="s">
        <v>8062</v>
      </c>
      <c r="B1393" t="s">
        <v>8063</v>
      </c>
      <c r="C1393" t="s">
        <v>202</v>
      </c>
      <c r="E1393" t="s">
        <v>8064</v>
      </c>
      <c r="F1393">
        <v>4539</v>
      </c>
      <c r="G1393" t="s">
        <v>23</v>
      </c>
      <c r="H1393" t="s">
        <v>16</v>
      </c>
      <c r="I1393" t="s">
        <v>331</v>
      </c>
      <c r="J1393" t="s">
        <v>332</v>
      </c>
      <c r="K1393" t="s">
        <v>1809</v>
      </c>
      <c r="L1393" t="str">
        <f>HYPERLINK("https://business-monitor.ch/de/companies/497888-sr-metall-gmbh?utm_source=oberaargau","PROFIL ANSEHEN")</f>
        <v>PROFIL ANSEHEN</v>
      </c>
    </row>
    <row r="1394" spans="1:12" x14ac:dyDescent="0.2">
      <c r="A1394" t="s">
        <v>3400</v>
      </c>
      <c r="B1394" t="s">
        <v>3401</v>
      </c>
      <c r="C1394" t="s">
        <v>13</v>
      </c>
      <c r="E1394" t="s">
        <v>3402</v>
      </c>
      <c r="F1394">
        <v>4938</v>
      </c>
      <c r="G1394" t="s">
        <v>618</v>
      </c>
      <c r="H1394" t="s">
        <v>16</v>
      </c>
      <c r="I1394" t="s">
        <v>2275</v>
      </c>
      <c r="J1394" t="s">
        <v>2276</v>
      </c>
      <c r="K1394" t="s">
        <v>1809</v>
      </c>
      <c r="L1394" t="str">
        <f>HYPERLINK("https://business-monitor.ch/de/companies/192208-roli-s-moebelmarkt-ag?utm_source=oberaargau","PROFIL ANSEHEN")</f>
        <v>PROFIL ANSEHEN</v>
      </c>
    </row>
    <row r="1395" spans="1:12" x14ac:dyDescent="0.2">
      <c r="A1395" t="s">
        <v>4891</v>
      </c>
      <c r="B1395" t="s">
        <v>4892</v>
      </c>
      <c r="C1395" t="s">
        <v>1812</v>
      </c>
      <c r="E1395" t="s">
        <v>4893</v>
      </c>
      <c r="F1395">
        <v>4900</v>
      </c>
      <c r="G1395" t="s">
        <v>41</v>
      </c>
      <c r="H1395" t="s">
        <v>16</v>
      </c>
      <c r="I1395" t="s">
        <v>955</v>
      </c>
      <c r="J1395" t="s">
        <v>956</v>
      </c>
      <c r="K1395" t="s">
        <v>1809</v>
      </c>
      <c r="L1395" t="str">
        <f>HYPERLINK("https://business-monitor.ch/de/companies/1095600-dpo-meyer?utm_source=oberaargau","PROFIL ANSEHEN")</f>
        <v>PROFIL ANSEHEN</v>
      </c>
    </row>
    <row r="1396" spans="1:12" x14ac:dyDescent="0.2">
      <c r="A1396" t="s">
        <v>3126</v>
      </c>
      <c r="B1396" t="s">
        <v>3127</v>
      </c>
      <c r="C1396" t="s">
        <v>202</v>
      </c>
      <c r="E1396" t="s">
        <v>11654</v>
      </c>
      <c r="F1396">
        <v>3380</v>
      </c>
      <c r="G1396" t="s">
        <v>29</v>
      </c>
      <c r="H1396" t="s">
        <v>16</v>
      </c>
      <c r="I1396" t="s">
        <v>232</v>
      </c>
      <c r="J1396" t="s">
        <v>233</v>
      </c>
      <c r="K1396" t="s">
        <v>1809</v>
      </c>
      <c r="L1396" t="str">
        <f>HYPERLINK("https://business-monitor.ch/de/companies/316588-al-treuhand-gmbh?utm_source=oberaargau","PROFIL ANSEHEN")</f>
        <v>PROFIL ANSEHEN</v>
      </c>
    </row>
    <row r="1397" spans="1:12" x14ac:dyDescent="0.2">
      <c r="A1397" t="s">
        <v>3112</v>
      </c>
      <c r="B1397" t="s">
        <v>5871</v>
      </c>
      <c r="C1397" t="s">
        <v>1922</v>
      </c>
      <c r="D1397" t="s">
        <v>5872</v>
      </c>
      <c r="E1397" t="s">
        <v>5873</v>
      </c>
      <c r="F1397">
        <v>4953</v>
      </c>
      <c r="G1397" t="s">
        <v>416</v>
      </c>
      <c r="H1397" t="s">
        <v>16</v>
      </c>
      <c r="I1397" t="s">
        <v>2591</v>
      </c>
      <c r="J1397" t="s">
        <v>2592</v>
      </c>
      <c r="K1397" t="s">
        <v>1809</v>
      </c>
      <c r="L1397" t="str">
        <f>HYPERLINK("https://business-monitor.ch/de/companies/306170-stiftung-alters-siedlung-huttwil?utm_source=oberaargau","PROFIL ANSEHEN")</f>
        <v>PROFIL ANSEHEN</v>
      </c>
    </row>
    <row r="1398" spans="1:12" x14ac:dyDescent="0.2">
      <c r="A1398" t="s">
        <v>9643</v>
      </c>
      <c r="B1398" t="s">
        <v>9644</v>
      </c>
      <c r="C1398" t="s">
        <v>202</v>
      </c>
      <c r="E1398" t="s">
        <v>4181</v>
      </c>
      <c r="F1398">
        <v>4922</v>
      </c>
      <c r="G1398" t="s">
        <v>1318</v>
      </c>
      <c r="H1398" t="s">
        <v>16</v>
      </c>
      <c r="I1398" t="s">
        <v>2445</v>
      </c>
      <c r="J1398" t="s">
        <v>2446</v>
      </c>
      <c r="K1398" t="s">
        <v>1809</v>
      </c>
      <c r="L1398" t="str">
        <f>HYPERLINK("https://business-monitor.ch/de/companies/996080-roth-ict-consulting-gmbh?utm_source=oberaargau","PROFIL ANSEHEN")</f>
        <v>PROFIL ANSEHEN</v>
      </c>
    </row>
    <row r="1399" spans="1:12" x14ac:dyDescent="0.2">
      <c r="A1399" t="s">
        <v>10641</v>
      </c>
      <c r="B1399" t="s">
        <v>10642</v>
      </c>
      <c r="C1399" t="s">
        <v>1812</v>
      </c>
      <c r="E1399" t="s">
        <v>5507</v>
      </c>
      <c r="F1399">
        <v>4912</v>
      </c>
      <c r="G1399" t="s">
        <v>64</v>
      </c>
      <c r="H1399" t="s">
        <v>16</v>
      </c>
      <c r="I1399" t="s">
        <v>542</v>
      </c>
      <c r="J1399" t="s">
        <v>543</v>
      </c>
      <c r="K1399" t="s">
        <v>1809</v>
      </c>
      <c r="L1399" t="str">
        <f>HYPERLINK("https://business-monitor.ch/de/companies/45926-roth-bauspenglerei?utm_source=oberaargau","PROFIL ANSEHEN")</f>
        <v>PROFIL ANSEHEN</v>
      </c>
    </row>
    <row r="1400" spans="1:12" x14ac:dyDescent="0.2">
      <c r="A1400" t="s">
        <v>5189</v>
      </c>
      <c r="B1400" t="s">
        <v>5190</v>
      </c>
      <c r="C1400" t="s">
        <v>1812</v>
      </c>
      <c r="E1400" t="s">
        <v>5191</v>
      </c>
      <c r="F1400">
        <v>4900</v>
      </c>
      <c r="G1400" t="s">
        <v>41</v>
      </c>
      <c r="H1400" t="s">
        <v>16</v>
      </c>
      <c r="I1400" t="s">
        <v>2327</v>
      </c>
      <c r="J1400" t="s">
        <v>2328</v>
      </c>
      <c r="K1400" t="s">
        <v>1809</v>
      </c>
      <c r="L1400" t="str">
        <f>HYPERLINK("https://business-monitor.ch/de/companies/233817-blumen-schenk?utm_source=oberaargau","PROFIL ANSEHEN")</f>
        <v>PROFIL ANSEHEN</v>
      </c>
    </row>
    <row r="1401" spans="1:12" x14ac:dyDescent="0.2">
      <c r="A1401" t="s">
        <v>5646</v>
      </c>
      <c r="B1401" t="s">
        <v>5647</v>
      </c>
      <c r="C1401" t="s">
        <v>202</v>
      </c>
      <c r="E1401" t="s">
        <v>573</v>
      </c>
      <c r="F1401">
        <v>4912</v>
      </c>
      <c r="G1401" t="s">
        <v>64</v>
      </c>
      <c r="H1401" t="s">
        <v>16</v>
      </c>
      <c r="I1401" t="s">
        <v>2337</v>
      </c>
      <c r="J1401" t="s">
        <v>2338</v>
      </c>
      <c r="K1401" t="s">
        <v>1809</v>
      </c>
      <c r="L1401" t="str">
        <f>HYPERLINK("https://business-monitor.ch/de/companies/324537-stalder-vermoegensverwaltung-gmbh?utm_source=oberaargau","PROFIL ANSEHEN")</f>
        <v>PROFIL ANSEHEN</v>
      </c>
    </row>
    <row r="1402" spans="1:12" x14ac:dyDescent="0.2">
      <c r="A1402" t="s">
        <v>8697</v>
      </c>
      <c r="B1402" t="s">
        <v>8698</v>
      </c>
      <c r="C1402" t="s">
        <v>202</v>
      </c>
      <c r="E1402" t="s">
        <v>14462</v>
      </c>
      <c r="F1402">
        <v>3368</v>
      </c>
      <c r="G1402" t="s">
        <v>308</v>
      </c>
      <c r="H1402" t="s">
        <v>16</v>
      </c>
      <c r="I1402" t="s">
        <v>4895</v>
      </c>
      <c r="J1402" t="s">
        <v>4896</v>
      </c>
      <c r="K1402" t="s">
        <v>1809</v>
      </c>
      <c r="L1402" t="str">
        <f>HYPERLINK("https://business-monitor.ch/de/companies/402490-gura-gips-gmbh?utm_source=oberaargau","PROFIL ANSEHEN")</f>
        <v>PROFIL ANSEHEN</v>
      </c>
    </row>
    <row r="1403" spans="1:12" x14ac:dyDescent="0.2">
      <c r="A1403" t="s">
        <v>3381</v>
      </c>
      <c r="B1403" t="s">
        <v>3382</v>
      </c>
      <c r="C1403" t="s">
        <v>13</v>
      </c>
      <c r="E1403" t="s">
        <v>3383</v>
      </c>
      <c r="F1403">
        <v>3372</v>
      </c>
      <c r="G1403" t="s">
        <v>2120</v>
      </c>
      <c r="H1403" t="s">
        <v>16</v>
      </c>
      <c r="I1403" t="s">
        <v>65</v>
      </c>
      <c r="J1403" t="s">
        <v>66</v>
      </c>
      <c r="K1403" t="s">
        <v>1809</v>
      </c>
      <c r="L1403" t="str">
        <f>HYPERLINK("https://business-monitor.ch/de/companies/203448-h-uebersax-a-g?utm_source=oberaargau","PROFIL ANSEHEN")</f>
        <v>PROFIL ANSEHEN</v>
      </c>
    </row>
    <row r="1404" spans="1:12" x14ac:dyDescent="0.2">
      <c r="A1404" t="s">
        <v>9097</v>
      </c>
      <c r="B1404" t="s">
        <v>9098</v>
      </c>
      <c r="C1404" t="s">
        <v>13</v>
      </c>
      <c r="E1404" t="s">
        <v>2432</v>
      </c>
      <c r="F1404">
        <v>3360</v>
      </c>
      <c r="G1404" t="s">
        <v>35</v>
      </c>
      <c r="H1404" t="s">
        <v>16</v>
      </c>
      <c r="I1404" t="s">
        <v>298</v>
      </c>
      <c r="J1404" t="s">
        <v>299</v>
      </c>
      <c r="K1404" t="s">
        <v>1809</v>
      </c>
      <c r="L1404" t="str">
        <f>HYPERLINK("https://business-monitor.ch/de/companies/173756-roehm-spanntechnik-ag?utm_source=oberaargau","PROFIL ANSEHEN")</f>
        <v>PROFIL ANSEHEN</v>
      </c>
    </row>
    <row r="1405" spans="1:12" x14ac:dyDescent="0.2">
      <c r="A1405" t="s">
        <v>3571</v>
      </c>
      <c r="B1405" t="s">
        <v>3572</v>
      </c>
      <c r="C1405" t="s">
        <v>1812</v>
      </c>
      <c r="E1405" t="s">
        <v>3573</v>
      </c>
      <c r="F1405">
        <v>3360</v>
      </c>
      <c r="G1405" t="s">
        <v>35</v>
      </c>
      <c r="H1405" t="s">
        <v>16</v>
      </c>
      <c r="I1405" t="s">
        <v>157</v>
      </c>
      <c r="J1405" t="s">
        <v>158</v>
      </c>
      <c r="K1405" t="s">
        <v>1809</v>
      </c>
      <c r="L1405" t="str">
        <f>HYPERLINK("https://business-monitor.ch/de/companies/113715-marcel-hofstetter?utm_source=oberaargau","PROFIL ANSEHEN")</f>
        <v>PROFIL ANSEHEN</v>
      </c>
    </row>
    <row r="1406" spans="1:12" x14ac:dyDescent="0.2">
      <c r="A1406" t="s">
        <v>3574</v>
      </c>
      <c r="B1406" t="s">
        <v>3575</v>
      </c>
      <c r="C1406" t="s">
        <v>202</v>
      </c>
      <c r="E1406" t="s">
        <v>3567</v>
      </c>
      <c r="F1406">
        <v>3368</v>
      </c>
      <c r="G1406" t="s">
        <v>308</v>
      </c>
      <c r="H1406" t="s">
        <v>16</v>
      </c>
      <c r="I1406" t="s">
        <v>1852</v>
      </c>
      <c r="J1406" t="s">
        <v>1853</v>
      </c>
      <c r="K1406" t="s">
        <v>1809</v>
      </c>
      <c r="L1406" t="str">
        <f>HYPERLINK("https://business-monitor.ch/de/companies/113120-hobl-gmbh?utm_source=oberaargau","PROFIL ANSEHEN")</f>
        <v>PROFIL ANSEHEN</v>
      </c>
    </row>
    <row r="1407" spans="1:12" x14ac:dyDescent="0.2">
      <c r="A1407" t="s">
        <v>2140</v>
      </c>
      <c r="B1407" t="s">
        <v>3418</v>
      </c>
      <c r="C1407" t="s">
        <v>13</v>
      </c>
      <c r="E1407" t="s">
        <v>1525</v>
      </c>
      <c r="F1407">
        <v>4950</v>
      </c>
      <c r="G1407" t="s">
        <v>15</v>
      </c>
      <c r="H1407" t="s">
        <v>16</v>
      </c>
      <c r="I1407" t="s">
        <v>157</v>
      </c>
      <c r="J1407" t="s">
        <v>158</v>
      </c>
      <c r="K1407" t="s">
        <v>1809</v>
      </c>
      <c r="L1407" t="str">
        <f>HYPERLINK("https://business-monitor.ch/de/companies/183720-b24-immobilien-ag?utm_source=oberaargau","PROFIL ANSEHEN")</f>
        <v>PROFIL ANSEHEN</v>
      </c>
    </row>
    <row r="1408" spans="1:12" x14ac:dyDescent="0.2">
      <c r="A1408" t="s">
        <v>8938</v>
      </c>
      <c r="B1408" t="s">
        <v>8939</v>
      </c>
      <c r="C1408" t="s">
        <v>202</v>
      </c>
      <c r="E1408" t="s">
        <v>179</v>
      </c>
      <c r="F1408">
        <v>4900</v>
      </c>
      <c r="G1408" t="s">
        <v>41</v>
      </c>
      <c r="H1408" t="s">
        <v>16</v>
      </c>
      <c r="I1408" t="s">
        <v>331</v>
      </c>
      <c r="J1408" t="s">
        <v>332</v>
      </c>
      <c r="K1408" t="s">
        <v>1809</v>
      </c>
      <c r="L1408" t="str">
        <f>HYPERLINK("https://business-monitor.ch/de/companies/267680-matec-system-technik-gmbh?utm_source=oberaargau","PROFIL ANSEHEN")</f>
        <v>PROFIL ANSEHEN</v>
      </c>
    </row>
    <row r="1409" spans="1:12" x14ac:dyDescent="0.2">
      <c r="A1409" t="s">
        <v>9116</v>
      </c>
      <c r="B1409" t="s">
        <v>9117</v>
      </c>
      <c r="C1409" t="s">
        <v>13</v>
      </c>
      <c r="E1409" t="s">
        <v>390</v>
      </c>
      <c r="F1409">
        <v>4537</v>
      </c>
      <c r="G1409" t="s">
        <v>113</v>
      </c>
      <c r="H1409" t="s">
        <v>16</v>
      </c>
      <c r="I1409" t="s">
        <v>237</v>
      </c>
      <c r="J1409" t="s">
        <v>238</v>
      </c>
      <c r="K1409" t="s">
        <v>1809</v>
      </c>
      <c r="L1409" t="str">
        <f>HYPERLINK("https://business-monitor.ch/de/companies/173743-sus-ag?utm_source=oberaargau","PROFIL ANSEHEN")</f>
        <v>PROFIL ANSEHEN</v>
      </c>
    </row>
    <row r="1410" spans="1:12" x14ac:dyDescent="0.2">
      <c r="A1410" t="s">
        <v>5067</v>
      </c>
      <c r="B1410" t="s">
        <v>9118</v>
      </c>
      <c r="C1410" t="s">
        <v>13</v>
      </c>
      <c r="E1410" t="s">
        <v>9119</v>
      </c>
      <c r="F1410">
        <v>3380</v>
      </c>
      <c r="G1410" t="s">
        <v>29</v>
      </c>
      <c r="H1410" t="s">
        <v>16</v>
      </c>
      <c r="I1410" t="s">
        <v>679</v>
      </c>
      <c r="J1410" t="s">
        <v>680</v>
      </c>
      <c r="K1410" t="s">
        <v>1809</v>
      </c>
      <c r="L1410" t="str">
        <f>HYPERLINK("https://business-monitor.ch/de/companies/173741-wagner-ag?utm_source=oberaargau","PROFIL ANSEHEN")</f>
        <v>PROFIL ANSEHEN</v>
      </c>
    </row>
    <row r="1411" spans="1:12" x14ac:dyDescent="0.2">
      <c r="A1411" t="s">
        <v>6062</v>
      </c>
      <c r="B1411" t="s">
        <v>6063</v>
      </c>
      <c r="C1411" t="s">
        <v>13</v>
      </c>
      <c r="E1411" t="s">
        <v>3649</v>
      </c>
      <c r="F1411">
        <v>3380</v>
      </c>
      <c r="G1411" t="s">
        <v>29</v>
      </c>
      <c r="H1411" t="s">
        <v>16</v>
      </c>
      <c r="I1411" t="s">
        <v>298</v>
      </c>
      <c r="J1411" t="s">
        <v>299</v>
      </c>
      <c r="K1411" t="s">
        <v>1809</v>
      </c>
      <c r="L1411" t="str">
        <f>HYPERLINK("https://business-monitor.ch/de/companies/204116-sfa-switzerland-ag?utm_source=oberaargau","PROFIL ANSEHEN")</f>
        <v>PROFIL ANSEHEN</v>
      </c>
    </row>
    <row r="1412" spans="1:12" x14ac:dyDescent="0.2">
      <c r="A1412" t="s">
        <v>8508</v>
      </c>
      <c r="B1412" t="s">
        <v>8509</v>
      </c>
      <c r="C1412" t="s">
        <v>1812</v>
      </c>
      <c r="E1412" t="s">
        <v>8510</v>
      </c>
      <c r="F1412">
        <v>4937</v>
      </c>
      <c r="G1412" t="s">
        <v>951</v>
      </c>
      <c r="H1412" t="s">
        <v>16</v>
      </c>
      <c r="I1412" t="s">
        <v>4343</v>
      </c>
      <c r="J1412" t="s">
        <v>4344</v>
      </c>
      <c r="K1412" t="s">
        <v>1809</v>
      </c>
      <c r="L1412" t="str">
        <f>HYPERLINK("https://business-monitor.ch/de/companies/505525-francois-varonier-technische-uebersetzungen-d-e-f?utm_source=oberaargau","PROFIL ANSEHEN")</f>
        <v>PROFIL ANSEHEN</v>
      </c>
    </row>
    <row r="1413" spans="1:12" x14ac:dyDescent="0.2">
      <c r="A1413" t="s">
        <v>6171</v>
      </c>
      <c r="B1413" t="s">
        <v>6172</v>
      </c>
      <c r="C1413" t="s">
        <v>202</v>
      </c>
      <c r="E1413" t="s">
        <v>1317</v>
      </c>
      <c r="F1413">
        <v>4922</v>
      </c>
      <c r="G1413" t="s">
        <v>1318</v>
      </c>
      <c r="H1413" t="s">
        <v>16</v>
      </c>
      <c r="I1413" t="s">
        <v>2897</v>
      </c>
      <c r="J1413" t="s">
        <v>2898</v>
      </c>
      <c r="K1413" t="s">
        <v>1809</v>
      </c>
      <c r="L1413" t="str">
        <f>HYPERLINK("https://business-monitor.ch/de/companies/383475-dreschen0800-gmbh?utm_source=oberaargau","PROFIL ANSEHEN")</f>
        <v>PROFIL ANSEHEN</v>
      </c>
    </row>
    <row r="1414" spans="1:12" x14ac:dyDescent="0.2">
      <c r="A1414" t="s">
        <v>10005</v>
      </c>
      <c r="B1414" t="s">
        <v>10006</v>
      </c>
      <c r="C1414" t="s">
        <v>2258</v>
      </c>
      <c r="D1414" t="s">
        <v>14068</v>
      </c>
      <c r="E1414" t="s">
        <v>14069</v>
      </c>
      <c r="F1414">
        <v>4932</v>
      </c>
      <c r="G1414" t="s">
        <v>325</v>
      </c>
      <c r="H1414" t="s">
        <v>16</v>
      </c>
      <c r="I1414" t="s">
        <v>91</v>
      </c>
      <c r="J1414" t="s">
        <v>92</v>
      </c>
      <c r="K1414" t="s">
        <v>1809</v>
      </c>
      <c r="L1414" t="str">
        <f>HYPERLINK("https://business-monitor.ch/de/companies/722248-verkehrskadetten-oberaargau?utm_source=oberaargau","PROFIL ANSEHEN")</f>
        <v>PROFIL ANSEHEN</v>
      </c>
    </row>
    <row r="1415" spans="1:12" x14ac:dyDescent="0.2">
      <c r="A1415" t="s">
        <v>12826</v>
      </c>
      <c r="B1415" t="s">
        <v>12827</v>
      </c>
      <c r="C1415" t="s">
        <v>202</v>
      </c>
      <c r="E1415" t="s">
        <v>241</v>
      </c>
      <c r="F1415">
        <v>4900</v>
      </c>
      <c r="G1415" t="s">
        <v>41</v>
      </c>
      <c r="H1415" t="s">
        <v>16</v>
      </c>
      <c r="I1415" t="s">
        <v>824</v>
      </c>
      <c r="J1415" t="s">
        <v>825</v>
      </c>
      <c r="K1415" t="s">
        <v>1809</v>
      </c>
      <c r="L1415" t="str">
        <f>HYPERLINK("https://business-monitor.ch/de/companies/1220220-nongnang-thai-take-away-gmbh?utm_source=oberaargau","PROFIL ANSEHEN")</f>
        <v>PROFIL ANSEHEN</v>
      </c>
    </row>
    <row r="1416" spans="1:12" x14ac:dyDescent="0.2">
      <c r="A1416" t="s">
        <v>4491</v>
      </c>
      <c r="B1416" t="s">
        <v>4492</v>
      </c>
      <c r="C1416" t="s">
        <v>13</v>
      </c>
      <c r="D1416" t="s">
        <v>4493</v>
      </c>
      <c r="E1416" t="s">
        <v>174</v>
      </c>
      <c r="F1416">
        <v>4900</v>
      </c>
      <c r="G1416" t="s">
        <v>41</v>
      </c>
      <c r="H1416" t="s">
        <v>16</v>
      </c>
      <c r="I1416" t="s">
        <v>175</v>
      </c>
      <c r="J1416" t="s">
        <v>176</v>
      </c>
      <c r="K1416" t="s">
        <v>1809</v>
      </c>
      <c r="L1416" t="str">
        <f>HYPERLINK("https://business-monitor.ch/de/companies/702742-carrosserie-gangloff-ag?utm_source=oberaargau","PROFIL ANSEHEN")</f>
        <v>PROFIL ANSEHEN</v>
      </c>
    </row>
    <row r="1417" spans="1:12" x14ac:dyDescent="0.2">
      <c r="A1417" t="s">
        <v>9252</v>
      </c>
      <c r="B1417" t="s">
        <v>9253</v>
      </c>
      <c r="C1417" t="s">
        <v>202</v>
      </c>
      <c r="E1417" t="s">
        <v>6236</v>
      </c>
      <c r="F1417">
        <v>3368</v>
      </c>
      <c r="G1417" t="s">
        <v>308</v>
      </c>
      <c r="H1417" t="s">
        <v>16</v>
      </c>
      <c r="I1417" t="s">
        <v>232</v>
      </c>
      <c r="J1417" t="s">
        <v>233</v>
      </c>
      <c r="K1417" t="s">
        <v>1809</v>
      </c>
      <c r="L1417" t="str">
        <f>HYPERLINK("https://business-monitor.ch/de/companies/116567-rige-gmbh?utm_source=oberaargau","PROFIL ANSEHEN")</f>
        <v>PROFIL ANSEHEN</v>
      </c>
    </row>
    <row r="1418" spans="1:12" x14ac:dyDescent="0.2">
      <c r="A1418" t="s">
        <v>14070</v>
      </c>
      <c r="B1418" t="s">
        <v>14071</v>
      </c>
      <c r="C1418" t="s">
        <v>1812</v>
      </c>
      <c r="E1418" t="s">
        <v>14072</v>
      </c>
      <c r="F1418">
        <v>3360</v>
      </c>
      <c r="G1418" t="s">
        <v>35</v>
      </c>
      <c r="H1418" t="s">
        <v>16</v>
      </c>
      <c r="I1418" t="s">
        <v>1865</v>
      </c>
      <c r="J1418" t="s">
        <v>1866</v>
      </c>
      <c r="K1418" t="s">
        <v>1809</v>
      </c>
      <c r="L1418" t="str">
        <f>HYPERLINK("https://business-monitor.ch/de/companies/1249656-smaili-reinigung?utm_source=oberaargau","PROFIL ANSEHEN")</f>
        <v>PROFIL ANSEHEN</v>
      </c>
    </row>
    <row r="1419" spans="1:12" x14ac:dyDescent="0.2">
      <c r="A1419" t="s">
        <v>9063</v>
      </c>
      <c r="B1419" t="s">
        <v>14463</v>
      </c>
      <c r="C1419" t="s">
        <v>13</v>
      </c>
      <c r="E1419" t="s">
        <v>14464</v>
      </c>
      <c r="F1419">
        <v>4950</v>
      </c>
      <c r="G1419" t="s">
        <v>15</v>
      </c>
      <c r="H1419" t="s">
        <v>16</v>
      </c>
      <c r="I1419" t="s">
        <v>1981</v>
      </c>
      <c r="J1419" t="s">
        <v>1982</v>
      </c>
      <c r="K1419" t="s">
        <v>1809</v>
      </c>
      <c r="L1419" t="str">
        <f>HYPERLINK("https://business-monitor.ch/de/companies/185524-schaer-uhren-schmuck-ag?utm_source=oberaargau","PROFIL ANSEHEN")</f>
        <v>PROFIL ANSEHEN</v>
      </c>
    </row>
    <row r="1420" spans="1:12" x14ac:dyDescent="0.2">
      <c r="A1420" t="s">
        <v>5508</v>
      </c>
      <c r="B1420" t="s">
        <v>5509</v>
      </c>
      <c r="C1420" t="s">
        <v>1812</v>
      </c>
      <c r="E1420" t="s">
        <v>5510</v>
      </c>
      <c r="F1420">
        <v>4914</v>
      </c>
      <c r="G1420" t="s">
        <v>717</v>
      </c>
      <c r="H1420" t="s">
        <v>16</v>
      </c>
      <c r="I1420" t="s">
        <v>475</v>
      </c>
      <c r="J1420" t="s">
        <v>476</v>
      </c>
      <c r="K1420" t="s">
        <v>1809</v>
      </c>
      <c r="L1420" t="str">
        <f>HYPERLINK("https://business-monitor.ch/de/companies/124333-konstruktionsbuero-mori-walter?utm_source=oberaargau","PROFIL ANSEHEN")</f>
        <v>PROFIL ANSEHEN</v>
      </c>
    </row>
    <row r="1421" spans="1:12" x14ac:dyDescent="0.2">
      <c r="A1421" t="s">
        <v>11292</v>
      </c>
      <c r="B1421" t="s">
        <v>12046</v>
      </c>
      <c r="C1421" t="s">
        <v>2178</v>
      </c>
      <c r="E1421" t="s">
        <v>2076</v>
      </c>
      <c r="F1421">
        <v>3362</v>
      </c>
      <c r="G1421" t="s">
        <v>47</v>
      </c>
      <c r="H1421" t="s">
        <v>16</v>
      </c>
      <c r="I1421" t="s">
        <v>1871</v>
      </c>
      <c r="J1421" t="s">
        <v>1872</v>
      </c>
      <c r="K1421" t="s">
        <v>1809</v>
      </c>
      <c r="L1421" t="str">
        <f>HYPERLINK("https://business-monitor.ch/de/companies/1131287-multinet-communication-ag-zweigniederlassung-niederoenz?utm_source=oberaargau","PROFIL ANSEHEN")</f>
        <v>PROFIL ANSEHEN</v>
      </c>
    </row>
    <row r="1422" spans="1:12" x14ac:dyDescent="0.2">
      <c r="A1422" t="s">
        <v>2917</v>
      </c>
      <c r="B1422" t="s">
        <v>2918</v>
      </c>
      <c r="C1422" t="s">
        <v>202</v>
      </c>
      <c r="E1422" t="s">
        <v>2919</v>
      </c>
      <c r="F1422">
        <v>3362</v>
      </c>
      <c r="G1422" t="s">
        <v>47</v>
      </c>
      <c r="H1422" t="s">
        <v>16</v>
      </c>
      <c r="I1422" t="s">
        <v>1337</v>
      </c>
      <c r="J1422" t="s">
        <v>1338</v>
      </c>
      <c r="K1422" t="s">
        <v>1809</v>
      </c>
      <c r="L1422" t="str">
        <f>HYPERLINK("https://business-monitor.ch/de/companies/385085-kinematik-dynamik-gmbh?utm_source=oberaargau","PROFIL ANSEHEN")</f>
        <v>PROFIL ANSEHEN</v>
      </c>
    </row>
    <row r="1423" spans="1:12" x14ac:dyDescent="0.2">
      <c r="A1423" t="s">
        <v>1363</v>
      </c>
      <c r="B1423" t="s">
        <v>1364</v>
      </c>
      <c r="C1423" t="s">
        <v>13</v>
      </c>
      <c r="E1423" t="s">
        <v>1365</v>
      </c>
      <c r="F1423">
        <v>4923</v>
      </c>
      <c r="G1423" t="s">
        <v>732</v>
      </c>
      <c r="H1423" t="s">
        <v>16</v>
      </c>
      <c r="I1423" t="s">
        <v>298</v>
      </c>
      <c r="J1423" t="s">
        <v>299</v>
      </c>
      <c r="K1423" t="s">
        <v>1809</v>
      </c>
      <c r="L1423" t="str">
        <f>HYPERLINK("https://business-monitor.ch/de/companies/229861-nb-technik-handels-ag?utm_source=oberaargau","PROFIL ANSEHEN")</f>
        <v>PROFIL ANSEHEN</v>
      </c>
    </row>
    <row r="1424" spans="1:12" x14ac:dyDescent="0.2">
      <c r="A1424" t="s">
        <v>9374</v>
      </c>
      <c r="B1424" t="s">
        <v>9375</v>
      </c>
      <c r="C1424" t="s">
        <v>13</v>
      </c>
      <c r="E1424" t="s">
        <v>2099</v>
      </c>
      <c r="F1424">
        <v>4900</v>
      </c>
      <c r="G1424" t="s">
        <v>41</v>
      </c>
      <c r="H1424" t="s">
        <v>16</v>
      </c>
      <c r="I1424" t="s">
        <v>157</v>
      </c>
      <c r="J1424" t="s">
        <v>158</v>
      </c>
      <c r="K1424" t="s">
        <v>1809</v>
      </c>
      <c r="L1424" t="str">
        <f>HYPERLINK("https://business-monitor.ch/de/companies/66704-salzi-ag?utm_source=oberaargau","PROFIL ANSEHEN")</f>
        <v>PROFIL ANSEHEN</v>
      </c>
    </row>
    <row r="1425" spans="1:12" x14ac:dyDescent="0.2">
      <c r="A1425" t="s">
        <v>6560</v>
      </c>
      <c r="B1425" t="s">
        <v>6561</v>
      </c>
      <c r="C1425" t="s">
        <v>1812</v>
      </c>
      <c r="E1425" t="s">
        <v>6562</v>
      </c>
      <c r="F1425">
        <v>4900</v>
      </c>
      <c r="G1425" t="s">
        <v>41</v>
      </c>
      <c r="H1425" t="s">
        <v>16</v>
      </c>
      <c r="I1425" t="s">
        <v>551</v>
      </c>
      <c r="J1425" t="s">
        <v>552</v>
      </c>
      <c r="K1425" t="s">
        <v>1809</v>
      </c>
      <c r="L1425" t="str">
        <f>HYPERLINK("https://business-monitor.ch/de/companies/227372-hans-rudolf-stalder-gastroberatung?utm_source=oberaargau","PROFIL ANSEHEN")</f>
        <v>PROFIL ANSEHEN</v>
      </c>
    </row>
    <row r="1426" spans="1:12" x14ac:dyDescent="0.2">
      <c r="A1426" t="s">
        <v>8343</v>
      </c>
      <c r="B1426" t="s">
        <v>8344</v>
      </c>
      <c r="C1426" t="s">
        <v>1812</v>
      </c>
      <c r="E1426" t="s">
        <v>3417</v>
      </c>
      <c r="F1426">
        <v>3374</v>
      </c>
      <c r="G1426" t="s">
        <v>894</v>
      </c>
      <c r="H1426" t="s">
        <v>16</v>
      </c>
      <c r="I1426" t="s">
        <v>8345</v>
      </c>
      <c r="J1426" t="s">
        <v>8346</v>
      </c>
      <c r="K1426" t="s">
        <v>1809</v>
      </c>
      <c r="L1426" t="str">
        <f>HYPERLINK("https://business-monitor.ch/de/companies/229806-walter-leuenberger?utm_source=oberaargau","PROFIL ANSEHEN")</f>
        <v>PROFIL ANSEHEN</v>
      </c>
    </row>
    <row r="1427" spans="1:12" x14ac:dyDescent="0.2">
      <c r="A1427" t="s">
        <v>8787</v>
      </c>
      <c r="B1427" t="s">
        <v>8788</v>
      </c>
      <c r="C1427" t="s">
        <v>202</v>
      </c>
      <c r="E1427" t="s">
        <v>8789</v>
      </c>
      <c r="F1427">
        <v>4923</v>
      </c>
      <c r="G1427" t="s">
        <v>732</v>
      </c>
      <c r="H1427" t="s">
        <v>16</v>
      </c>
      <c r="I1427" t="s">
        <v>854</v>
      </c>
      <c r="J1427" t="s">
        <v>855</v>
      </c>
      <c r="K1427" t="s">
        <v>1809</v>
      </c>
      <c r="L1427" t="str">
        <f>HYPERLINK("https://business-monitor.ch/de/companies/356801-contevis-gmbh?utm_source=oberaargau","PROFIL ANSEHEN")</f>
        <v>PROFIL ANSEHEN</v>
      </c>
    </row>
    <row r="1428" spans="1:12" x14ac:dyDescent="0.2">
      <c r="A1428" t="s">
        <v>1968</v>
      </c>
      <c r="B1428" t="s">
        <v>11339</v>
      </c>
      <c r="C1428" t="s">
        <v>1812</v>
      </c>
      <c r="E1428" t="s">
        <v>11340</v>
      </c>
      <c r="F1428">
        <v>4900</v>
      </c>
      <c r="G1428" t="s">
        <v>41</v>
      </c>
      <c r="H1428" t="s">
        <v>16</v>
      </c>
      <c r="I1428" t="s">
        <v>1970</v>
      </c>
      <c r="J1428" t="s">
        <v>1971</v>
      </c>
      <c r="K1428" t="s">
        <v>1809</v>
      </c>
      <c r="L1428" t="str">
        <f>HYPERLINK("https://business-monitor.ch/de/companies/220406-mavris-spyridon-dynamic-im-export?utm_source=oberaargau","PROFIL ANSEHEN")</f>
        <v>PROFIL ANSEHEN</v>
      </c>
    </row>
    <row r="1429" spans="1:12" x14ac:dyDescent="0.2">
      <c r="A1429" t="s">
        <v>11358</v>
      </c>
      <c r="B1429" t="s">
        <v>11359</v>
      </c>
      <c r="C1429" t="s">
        <v>1922</v>
      </c>
      <c r="D1429" t="s">
        <v>5218</v>
      </c>
      <c r="E1429" t="s">
        <v>5219</v>
      </c>
      <c r="F1429">
        <v>4900</v>
      </c>
      <c r="G1429" t="s">
        <v>41</v>
      </c>
      <c r="H1429" t="s">
        <v>16</v>
      </c>
      <c r="I1429" t="s">
        <v>2849</v>
      </c>
      <c r="J1429" t="s">
        <v>2850</v>
      </c>
      <c r="K1429" t="s">
        <v>1809</v>
      </c>
      <c r="L1429" t="str">
        <f>HYPERLINK("https://business-monitor.ch/de/companies/1132679-fondation-koinonia?utm_source=oberaargau","PROFIL ANSEHEN")</f>
        <v>PROFIL ANSEHEN</v>
      </c>
    </row>
    <row r="1430" spans="1:12" x14ac:dyDescent="0.2">
      <c r="A1430" t="s">
        <v>4137</v>
      </c>
      <c r="B1430" t="s">
        <v>4138</v>
      </c>
      <c r="C1430" t="s">
        <v>202</v>
      </c>
      <c r="E1430" t="s">
        <v>4139</v>
      </c>
      <c r="F1430">
        <v>4932</v>
      </c>
      <c r="G1430" t="s">
        <v>325</v>
      </c>
      <c r="H1430" t="s">
        <v>16</v>
      </c>
      <c r="I1430" t="s">
        <v>2213</v>
      </c>
      <c r="J1430" t="s">
        <v>2214</v>
      </c>
      <c r="K1430" t="s">
        <v>1809</v>
      </c>
      <c r="L1430" t="str">
        <f>HYPERLINK("https://business-monitor.ch/de/companies/1028342-abctennis-gmbh?utm_source=oberaargau","PROFIL ANSEHEN")</f>
        <v>PROFIL ANSEHEN</v>
      </c>
    </row>
    <row r="1431" spans="1:12" x14ac:dyDescent="0.2">
      <c r="A1431" t="s">
        <v>4131</v>
      </c>
      <c r="B1431" t="s">
        <v>14465</v>
      </c>
      <c r="C1431" t="s">
        <v>1812</v>
      </c>
      <c r="E1431" t="s">
        <v>2794</v>
      </c>
      <c r="F1431">
        <v>4900</v>
      </c>
      <c r="G1431" t="s">
        <v>41</v>
      </c>
      <c r="H1431" t="s">
        <v>16</v>
      </c>
      <c r="I1431" t="s">
        <v>2748</v>
      </c>
      <c r="J1431" t="s">
        <v>2749</v>
      </c>
      <c r="K1431" t="s">
        <v>1809</v>
      </c>
      <c r="L1431" t="str">
        <f>HYPERLINK("https://business-monitor.ch/de/companies/1029597-canimore-hundesport-roger-rudin?utm_source=oberaargau","PROFIL ANSEHEN")</f>
        <v>PROFIL ANSEHEN</v>
      </c>
    </row>
    <row r="1432" spans="1:12" x14ac:dyDescent="0.2">
      <c r="A1432" t="s">
        <v>11268</v>
      </c>
      <c r="B1432" t="s">
        <v>11269</v>
      </c>
      <c r="C1432" t="s">
        <v>1812</v>
      </c>
      <c r="E1432" t="s">
        <v>11963</v>
      </c>
      <c r="F1432">
        <v>4912</v>
      </c>
      <c r="G1432" t="s">
        <v>64</v>
      </c>
      <c r="H1432" t="s">
        <v>16</v>
      </c>
      <c r="I1432" t="s">
        <v>1852</v>
      </c>
      <c r="J1432" t="s">
        <v>1853</v>
      </c>
      <c r="K1432" t="s">
        <v>1809</v>
      </c>
      <c r="L1432" t="str">
        <f>HYPERLINK("https://business-monitor.ch/de/companies/1133317-dore-der-handwerker?utm_source=oberaargau","PROFIL ANSEHEN")</f>
        <v>PROFIL ANSEHEN</v>
      </c>
    </row>
    <row r="1433" spans="1:12" x14ac:dyDescent="0.2">
      <c r="A1433" t="s">
        <v>10070</v>
      </c>
      <c r="B1433" t="s">
        <v>10071</v>
      </c>
      <c r="C1433" t="s">
        <v>13</v>
      </c>
      <c r="D1433" t="s">
        <v>5640</v>
      </c>
      <c r="E1433" t="s">
        <v>5641</v>
      </c>
      <c r="F1433">
        <v>4923</v>
      </c>
      <c r="G1433" t="s">
        <v>732</v>
      </c>
      <c r="H1433" t="s">
        <v>16</v>
      </c>
      <c r="I1433" t="s">
        <v>182</v>
      </c>
      <c r="J1433" t="s">
        <v>183</v>
      </c>
      <c r="K1433" t="s">
        <v>1809</v>
      </c>
      <c r="L1433" t="str">
        <f>HYPERLINK("https://business-monitor.ch/de/companies/691175-stephan-w-m-maag-holding-ag?utm_source=oberaargau","PROFIL ANSEHEN")</f>
        <v>PROFIL ANSEHEN</v>
      </c>
    </row>
    <row r="1434" spans="1:12" x14ac:dyDescent="0.2">
      <c r="A1434" t="s">
        <v>7253</v>
      </c>
      <c r="B1434" t="s">
        <v>7254</v>
      </c>
      <c r="C1434" t="s">
        <v>202</v>
      </c>
      <c r="E1434" t="s">
        <v>7255</v>
      </c>
      <c r="F1434">
        <v>3476</v>
      </c>
      <c r="G1434" t="s">
        <v>3506</v>
      </c>
      <c r="H1434" t="s">
        <v>16</v>
      </c>
      <c r="I1434" t="s">
        <v>1053</v>
      </c>
      <c r="J1434" t="s">
        <v>1054</v>
      </c>
      <c r="K1434" t="s">
        <v>1809</v>
      </c>
      <c r="L1434" t="str">
        <f>HYPERLINK("https://business-monitor.ch/de/companies/1018195-mobiroll-gmbh?utm_source=oberaargau","PROFIL ANSEHEN")</f>
        <v>PROFIL ANSEHEN</v>
      </c>
    </row>
    <row r="1435" spans="1:12" x14ac:dyDescent="0.2">
      <c r="A1435" t="s">
        <v>5826</v>
      </c>
      <c r="B1435" t="s">
        <v>5827</v>
      </c>
      <c r="C1435" t="s">
        <v>13</v>
      </c>
      <c r="D1435" t="s">
        <v>5218</v>
      </c>
      <c r="E1435" t="s">
        <v>5219</v>
      </c>
      <c r="F1435">
        <v>4900</v>
      </c>
      <c r="G1435" t="s">
        <v>41</v>
      </c>
      <c r="H1435" t="s">
        <v>16</v>
      </c>
      <c r="I1435" t="s">
        <v>475</v>
      </c>
      <c r="J1435" t="s">
        <v>476</v>
      </c>
      <c r="K1435" t="s">
        <v>1809</v>
      </c>
      <c r="L1435" t="str">
        <f>HYPERLINK("https://business-monitor.ch/de/companies/19806-substance-management-sa?utm_source=oberaargau","PROFIL ANSEHEN")</f>
        <v>PROFIL ANSEHEN</v>
      </c>
    </row>
    <row r="1436" spans="1:12" x14ac:dyDescent="0.2">
      <c r="A1436" t="s">
        <v>2995</v>
      </c>
      <c r="B1436" t="s">
        <v>2996</v>
      </c>
      <c r="C1436" t="s">
        <v>202</v>
      </c>
      <c r="E1436" t="s">
        <v>2997</v>
      </c>
      <c r="F1436">
        <v>3367</v>
      </c>
      <c r="G1436" t="s">
        <v>455</v>
      </c>
      <c r="H1436" t="s">
        <v>16</v>
      </c>
      <c r="I1436" t="s">
        <v>298</v>
      </c>
      <c r="J1436" t="s">
        <v>299</v>
      </c>
      <c r="K1436" t="s">
        <v>1809</v>
      </c>
      <c r="L1436" t="str">
        <f>HYPERLINK("https://business-monitor.ch/de/companies/355280-dreatec-gmbh?utm_source=oberaargau","PROFIL ANSEHEN")</f>
        <v>PROFIL ANSEHEN</v>
      </c>
    </row>
    <row r="1437" spans="1:12" x14ac:dyDescent="0.2">
      <c r="A1437" t="s">
        <v>2929</v>
      </c>
      <c r="B1437" t="s">
        <v>2930</v>
      </c>
      <c r="C1437" t="s">
        <v>13</v>
      </c>
      <c r="E1437" t="s">
        <v>2931</v>
      </c>
      <c r="F1437">
        <v>4936</v>
      </c>
      <c r="G1437" t="s">
        <v>768</v>
      </c>
      <c r="H1437" t="s">
        <v>16</v>
      </c>
      <c r="I1437" t="s">
        <v>2932</v>
      </c>
      <c r="J1437" t="s">
        <v>2933</v>
      </c>
      <c r="K1437" t="s">
        <v>1809</v>
      </c>
      <c r="L1437" t="str">
        <f>HYPERLINK("https://business-monitor.ch/de/companies/381889-wuethrich-haustechnik-ag?utm_source=oberaargau","PROFIL ANSEHEN")</f>
        <v>PROFIL ANSEHEN</v>
      </c>
    </row>
    <row r="1438" spans="1:12" x14ac:dyDescent="0.2">
      <c r="A1438" t="s">
        <v>8732</v>
      </c>
      <c r="B1438" t="s">
        <v>8733</v>
      </c>
      <c r="C1438" t="s">
        <v>202</v>
      </c>
      <c r="D1438" t="s">
        <v>11840</v>
      </c>
      <c r="E1438" t="s">
        <v>11841</v>
      </c>
      <c r="F1438">
        <v>4900</v>
      </c>
      <c r="G1438" t="s">
        <v>41</v>
      </c>
      <c r="H1438" t="s">
        <v>16</v>
      </c>
      <c r="I1438" t="s">
        <v>824</v>
      </c>
      <c r="J1438" t="s">
        <v>825</v>
      </c>
      <c r="K1438" t="s">
        <v>1809</v>
      </c>
      <c r="L1438" t="str">
        <f>HYPERLINK("https://business-monitor.ch/de/companies/386468-somar-gmbh?utm_source=oberaargau","PROFIL ANSEHEN")</f>
        <v>PROFIL ANSEHEN</v>
      </c>
    </row>
    <row r="1439" spans="1:12" x14ac:dyDescent="0.2">
      <c r="A1439" t="s">
        <v>2329</v>
      </c>
      <c r="B1439" t="s">
        <v>2330</v>
      </c>
      <c r="C1439" t="s">
        <v>1827</v>
      </c>
      <c r="E1439" t="s">
        <v>2331</v>
      </c>
      <c r="F1439">
        <v>4932</v>
      </c>
      <c r="G1439" t="s">
        <v>325</v>
      </c>
      <c r="H1439" t="s">
        <v>16</v>
      </c>
      <c r="I1439" t="s">
        <v>1485</v>
      </c>
      <c r="J1439" t="s">
        <v>1486</v>
      </c>
      <c r="K1439" t="s">
        <v>1809</v>
      </c>
      <c r="L1439" t="str">
        <f>HYPERLINK("https://business-monitor.ch/de/companies/222546-marti-s-frischprodukte-angelika-reto-marti?utm_source=oberaargau","PROFIL ANSEHEN")</f>
        <v>PROFIL ANSEHEN</v>
      </c>
    </row>
    <row r="1440" spans="1:12" x14ac:dyDescent="0.2">
      <c r="A1440" t="s">
        <v>11085</v>
      </c>
      <c r="B1440" t="s">
        <v>11086</v>
      </c>
      <c r="C1440" t="s">
        <v>202</v>
      </c>
      <c r="E1440" t="s">
        <v>11087</v>
      </c>
      <c r="F1440">
        <v>3365</v>
      </c>
      <c r="G1440" t="s">
        <v>2390</v>
      </c>
      <c r="H1440" t="s">
        <v>16</v>
      </c>
      <c r="I1440" t="s">
        <v>1841</v>
      </c>
      <c r="J1440" t="s">
        <v>1842</v>
      </c>
      <c r="K1440" t="s">
        <v>1809</v>
      </c>
      <c r="L1440" t="str">
        <f>HYPERLINK("https://business-monitor.ch/de/companies/1041693-a-way-of-life-gmbh?utm_source=oberaargau","PROFIL ANSEHEN")</f>
        <v>PROFIL ANSEHEN</v>
      </c>
    </row>
    <row r="1441" spans="1:12" x14ac:dyDescent="0.2">
      <c r="A1441" t="s">
        <v>9083</v>
      </c>
      <c r="B1441" t="s">
        <v>9084</v>
      </c>
      <c r="C1441" t="s">
        <v>13</v>
      </c>
      <c r="E1441" t="s">
        <v>9085</v>
      </c>
      <c r="F1441">
        <v>3367</v>
      </c>
      <c r="G1441" t="s">
        <v>455</v>
      </c>
      <c r="H1441" t="s">
        <v>16</v>
      </c>
      <c r="I1441" t="s">
        <v>748</v>
      </c>
      <c r="J1441" t="s">
        <v>749</v>
      </c>
      <c r="K1441" t="s">
        <v>1809</v>
      </c>
      <c r="L1441" t="str">
        <f>HYPERLINK("https://business-monitor.ch/de/companies/173776-fischer-ag-malergeschaeft?utm_source=oberaargau","PROFIL ANSEHEN")</f>
        <v>PROFIL ANSEHEN</v>
      </c>
    </row>
    <row r="1442" spans="1:12" x14ac:dyDescent="0.2">
      <c r="A1442" t="s">
        <v>11097</v>
      </c>
      <c r="B1442" t="s">
        <v>11098</v>
      </c>
      <c r="C1442" t="s">
        <v>202</v>
      </c>
      <c r="E1442" t="s">
        <v>4725</v>
      </c>
      <c r="F1442">
        <v>4917</v>
      </c>
      <c r="G1442" t="s">
        <v>376</v>
      </c>
      <c r="H1442" t="s">
        <v>16</v>
      </c>
      <c r="I1442" t="s">
        <v>642</v>
      </c>
      <c r="J1442" t="s">
        <v>643</v>
      </c>
      <c r="K1442" t="s">
        <v>1809</v>
      </c>
      <c r="L1442" t="str">
        <f>HYPERLINK("https://business-monitor.ch/de/companies/521578-schaub-metalworks-gmbh?utm_source=oberaargau","PROFIL ANSEHEN")</f>
        <v>PROFIL ANSEHEN</v>
      </c>
    </row>
    <row r="1443" spans="1:12" x14ac:dyDescent="0.2">
      <c r="A1443" t="s">
        <v>1995</v>
      </c>
      <c r="B1443" t="s">
        <v>1996</v>
      </c>
      <c r="C1443" t="s">
        <v>1812</v>
      </c>
      <c r="E1443" t="s">
        <v>1997</v>
      </c>
      <c r="F1443">
        <v>4912</v>
      </c>
      <c r="G1443" t="s">
        <v>64</v>
      </c>
      <c r="H1443" t="s">
        <v>16</v>
      </c>
      <c r="I1443" t="s">
        <v>1998</v>
      </c>
      <c r="J1443" t="s">
        <v>1999</v>
      </c>
      <c r="K1443" t="s">
        <v>1809</v>
      </c>
      <c r="L1443" t="str">
        <f>HYPERLINK("https://business-monitor.ch/de/companies/192069-atrium-trading-charles-hafner?utm_source=oberaargau","PROFIL ANSEHEN")</f>
        <v>PROFIL ANSEHEN</v>
      </c>
    </row>
    <row r="1444" spans="1:12" x14ac:dyDescent="0.2">
      <c r="A1444" t="s">
        <v>3203</v>
      </c>
      <c r="B1444" t="s">
        <v>3204</v>
      </c>
      <c r="C1444" t="s">
        <v>1922</v>
      </c>
      <c r="E1444" t="s">
        <v>3205</v>
      </c>
      <c r="F1444">
        <v>4704</v>
      </c>
      <c r="G1444" t="s">
        <v>221</v>
      </c>
      <c r="H1444" t="s">
        <v>16</v>
      </c>
      <c r="I1444" t="s">
        <v>1924</v>
      </c>
      <c r="J1444" t="s">
        <v>1925</v>
      </c>
      <c r="K1444" t="s">
        <v>1809</v>
      </c>
      <c r="L1444" t="str">
        <f>HYPERLINK("https://business-monitor.ch/de/companies/280287-stiftung-raeberstoeckli?utm_source=oberaargau","PROFIL ANSEHEN")</f>
        <v>PROFIL ANSEHEN</v>
      </c>
    </row>
    <row r="1445" spans="1:12" x14ac:dyDescent="0.2">
      <c r="A1445" t="s">
        <v>3328</v>
      </c>
      <c r="B1445" t="s">
        <v>5666</v>
      </c>
      <c r="C1445" t="s">
        <v>13</v>
      </c>
      <c r="E1445" t="s">
        <v>707</v>
      </c>
      <c r="F1445">
        <v>4950</v>
      </c>
      <c r="G1445" t="s">
        <v>15</v>
      </c>
      <c r="H1445" t="s">
        <v>16</v>
      </c>
      <c r="I1445" t="s">
        <v>5667</v>
      </c>
      <c r="J1445" t="s">
        <v>5668</v>
      </c>
      <c r="K1445" t="s">
        <v>1809</v>
      </c>
      <c r="L1445" t="str">
        <f>HYPERLINK("https://business-monitor.ch/de/companies/225413-e-lanz-radio-tv-ag?utm_source=oberaargau","PROFIL ANSEHEN")</f>
        <v>PROFIL ANSEHEN</v>
      </c>
    </row>
    <row r="1446" spans="1:12" x14ac:dyDescent="0.2">
      <c r="A1446" t="s">
        <v>5011</v>
      </c>
      <c r="B1446" t="s">
        <v>5012</v>
      </c>
      <c r="C1446" t="s">
        <v>1812</v>
      </c>
      <c r="E1446" t="s">
        <v>14449</v>
      </c>
      <c r="F1446">
        <v>4943</v>
      </c>
      <c r="G1446" t="s">
        <v>1022</v>
      </c>
      <c r="H1446" t="s">
        <v>16</v>
      </c>
      <c r="I1446" t="s">
        <v>642</v>
      </c>
      <c r="J1446" t="s">
        <v>643</v>
      </c>
      <c r="K1446" t="s">
        <v>1809</v>
      </c>
      <c r="L1446" t="str">
        <f>HYPERLINK("https://business-monitor.ch/de/companies/239924-berger-garage?utm_source=oberaargau","PROFIL ANSEHEN")</f>
        <v>PROFIL ANSEHEN</v>
      </c>
    </row>
    <row r="1447" spans="1:12" x14ac:dyDescent="0.2">
      <c r="A1447" t="s">
        <v>13805</v>
      </c>
      <c r="B1447" t="s">
        <v>13806</v>
      </c>
      <c r="C1447" t="s">
        <v>1827</v>
      </c>
      <c r="E1447" t="s">
        <v>1200</v>
      </c>
      <c r="F1447">
        <v>4900</v>
      </c>
      <c r="G1447" t="s">
        <v>41</v>
      </c>
      <c r="H1447" t="s">
        <v>16</v>
      </c>
      <c r="I1447" t="s">
        <v>551</v>
      </c>
      <c r="J1447" t="s">
        <v>552</v>
      </c>
      <c r="K1447" t="s">
        <v>1809</v>
      </c>
      <c r="L1447" t="str">
        <f>HYPERLINK("https://business-monitor.ch/de/companies/638258-diehlmann-partner?utm_source=oberaargau","PROFIL ANSEHEN")</f>
        <v>PROFIL ANSEHEN</v>
      </c>
    </row>
    <row r="1448" spans="1:12" x14ac:dyDescent="0.2">
      <c r="A1448" t="s">
        <v>5941</v>
      </c>
      <c r="B1448" t="s">
        <v>5942</v>
      </c>
      <c r="C1448" t="s">
        <v>202</v>
      </c>
      <c r="E1448" t="s">
        <v>9493</v>
      </c>
      <c r="F1448">
        <v>4912</v>
      </c>
      <c r="G1448" t="s">
        <v>64</v>
      </c>
      <c r="H1448" t="s">
        <v>16</v>
      </c>
      <c r="I1448" t="s">
        <v>232</v>
      </c>
      <c r="J1448" t="s">
        <v>233</v>
      </c>
      <c r="K1448" t="s">
        <v>1809</v>
      </c>
      <c r="L1448" t="str">
        <f>HYPERLINK("https://business-monitor.ch/de/companies/1073212-gruszka-treuhand-gmbh?utm_source=oberaargau","PROFIL ANSEHEN")</f>
        <v>PROFIL ANSEHEN</v>
      </c>
    </row>
    <row r="1449" spans="1:12" x14ac:dyDescent="0.2">
      <c r="A1449" t="s">
        <v>11067</v>
      </c>
      <c r="B1449" t="s">
        <v>11068</v>
      </c>
      <c r="C1449" t="s">
        <v>202</v>
      </c>
      <c r="E1449" t="s">
        <v>11069</v>
      </c>
      <c r="F1449">
        <v>4912</v>
      </c>
      <c r="G1449" t="s">
        <v>64</v>
      </c>
      <c r="H1449" t="s">
        <v>16</v>
      </c>
      <c r="I1449" t="s">
        <v>679</v>
      </c>
      <c r="J1449" t="s">
        <v>680</v>
      </c>
      <c r="K1449" t="s">
        <v>1809</v>
      </c>
      <c r="L1449" t="str">
        <f>HYPERLINK("https://business-monitor.ch/de/companies/1118547-schero-holzhandwerk-gmbh?utm_source=oberaargau","PROFIL ANSEHEN")</f>
        <v>PROFIL ANSEHEN</v>
      </c>
    </row>
    <row r="1450" spans="1:12" x14ac:dyDescent="0.2">
      <c r="A1450" t="s">
        <v>4690</v>
      </c>
      <c r="B1450" t="s">
        <v>4691</v>
      </c>
      <c r="C1450" t="s">
        <v>13</v>
      </c>
      <c r="E1450" t="s">
        <v>4692</v>
      </c>
      <c r="F1450">
        <v>4900</v>
      </c>
      <c r="G1450" t="s">
        <v>41</v>
      </c>
      <c r="H1450" t="s">
        <v>16</v>
      </c>
      <c r="I1450" t="s">
        <v>4247</v>
      </c>
      <c r="J1450" t="s">
        <v>4248</v>
      </c>
      <c r="K1450" t="s">
        <v>1809</v>
      </c>
      <c r="L1450" t="str">
        <f>HYPERLINK("https://business-monitor.ch/de/companies/607388-rheumatologie-oberaargau-ag?utm_source=oberaargau","PROFIL ANSEHEN")</f>
        <v>PROFIL ANSEHEN</v>
      </c>
    </row>
    <row r="1451" spans="1:12" x14ac:dyDescent="0.2">
      <c r="A1451" t="s">
        <v>7251</v>
      </c>
      <c r="B1451" t="s">
        <v>7252</v>
      </c>
      <c r="C1451" t="s">
        <v>202</v>
      </c>
      <c r="E1451" t="s">
        <v>2862</v>
      </c>
      <c r="F1451">
        <v>4900</v>
      </c>
      <c r="G1451" t="s">
        <v>41</v>
      </c>
      <c r="H1451" t="s">
        <v>16</v>
      </c>
      <c r="I1451" t="s">
        <v>438</v>
      </c>
      <c r="J1451" t="s">
        <v>439</v>
      </c>
      <c r="K1451" t="s">
        <v>1809</v>
      </c>
      <c r="L1451" t="str">
        <f>HYPERLINK("https://business-monitor.ch/de/companies/1018341-kaanisol-technik-gmbh?utm_source=oberaargau","PROFIL ANSEHEN")</f>
        <v>PROFIL ANSEHEN</v>
      </c>
    </row>
    <row r="1452" spans="1:12" x14ac:dyDescent="0.2">
      <c r="A1452" t="s">
        <v>3883</v>
      </c>
      <c r="B1452" t="s">
        <v>3884</v>
      </c>
      <c r="C1452" t="s">
        <v>13</v>
      </c>
      <c r="E1452" t="s">
        <v>3885</v>
      </c>
      <c r="F1452">
        <v>4900</v>
      </c>
      <c r="G1452" t="s">
        <v>41</v>
      </c>
      <c r="H1452" t="s">
        <v>16</v>
      </c>
      <c r="I1452" t="s">
        <v>1576</v>
      </c>
      <c r="J1452" t="s">
        <v>1577</v>
      </c>
      <c r="K1452" t="s">
        <v>1809</v>
      </c>
      <c r="L1452" t="str">
        <f>HYPERLINK("https://business-monitor.ch/de/companies/598626-salute-ag?utm_source=oberaargau","PROFIL ANSEHEN")</f>
        <v>PROFIL ANSEHEN</v>
      </c>
    </row>
    <row r="1453" spans="1:12" x14ac:dyDescent="0.2">
      <c r="A1453" t="s">
        <v>14466</v>
      </c>
      <c r="B1453" t="s">
        <v>14467</v>
      </c>
      <c r="C1453" t="s">
        <v>202</v>
      </c>
      <c r="E1453" t="s">
        <v>14400</v>
      </c>
      <c r="F1453">
        <v>4911</v>
      </c>
      <c r="G1453" t="s">
        <v>1005</v>
      </c>
      <c r="H1453" t="s">
        <v>16</v>
      </c>
      <c r="I1453" t="s">
        <v>12505</v>
      </c>
      <c r="J1453" t="s">
        <v>12506</v>
      </c>
      <c r="K1453" t="s">
        <v>1809</v>
      </c>
      <c r="L1453" t="str">
        <f>HYPERLINK("https://business-monitor.ch/de/companies/26179-lakonita-ausseruniversitaere-forschungsgemeinschaft-gmbh?utm_source=oberaargau","PROFIL ANSEHEN")</f>
        <v>PROFIL ANSEHEN</v>
      </c>
    </row>
    <row r="1454" spans="1:12" x14ac:dyDescent="0.2">
      <c r="A1454" t="s">
        <v>11596</v>
      </c>
      <c r="B1454" t="s">
        <v>11597</v>
      </c>
      <c r="C1454" t="s">
        <v>202</v>
      </c>
      <c r="E1454" t="s">
        <v>11598</v>
      </c>
      <c r="F1454">
        <v>4900</v>
      </c>
      <c r="G1454" t="s">
        <v>41</v>
      </c>
      <c r="H1454" t="s">
        <v>16</v>
      </c>
      <c r="I1454" t="s">
        <v>1860</v>
      </c>
      <c r="J1454" t="s">
        <v>1861</v>
      </c>
      <c r="K1454" t="s">
        <v>1809</v>
      </c>
      <c r="L1454" t="str">
        <f>HYPERLINK("https://business-monitor.ch/de/companies/1139058-nori-s-barber-shop-gmbh?utm_source=oberaargau","PROFIL ANSEHEN")</f>
        <v>PROFIL ANSEHEN</v>
      </c>
    </row>
    <row r="1455" spans="1:12" x14ac:dyDescent="0.2">
      <c r="A1455" t="s">
        <v>6505</v>
      </c>
      <c r="B1455" t="s">
        <v>6506</v>
      </c>
      <c r="C1455" t="s">
        <v>13</v>
      </c>
      <c r="D1455" t="s">
        <v>6507</v>
      </c>
      <c r="E1455" t="s">
        <v>6508</v>
      </c>
      <c r="F1455">
        <v>4922</v>
      </c>
      <c r="G1455" t="s">
        <v>99</v>
      </c>
      <c r="H1455" t="s">
        <v>16</v>
      </c>
      <c r="I1455" t="s">
        <v>935</v>
      </c>
      <c r="J1455" t="s">
        <v>936</v>
      </c>
      <c r="K1455" t="s">
        <v>1809</v>
      </c>
      <c r="L1455" t="str">
        <f>HYPERLINK("https://business-monitor.ch/de/companies/244667-hu-immobilien-ag?utm_source=oberaargau","PROFIL ANSEHEN")</f>
        <v>PROFIL ANSEHEN</v>
      </c>
    </row>
    <row r="1456" spans="1:12" x14ac:dyDescent="0.2">
      <c r="A1456" t="s">
        <v>7720</v>
      </c>
      <c r="B1456" t="s">
        <v>7721</v>
      </c>
      <c r="C1456" t="s">
        <v>13</v>
      </c>
      <c r="E1456" t="s">
        <v>879</v>
      </c>
      <c r="F1456">
        <v>3360</v>
      </c>
      <c r="G1456" t="s">
        <v>35</v>
      </c>
      <c r="H1456" t="s">
        <v>16</v>
      </c>
      <c r="I1456" t="s">
        <v>551</v>
      </c>
      <c r="J1456" t="s">
        <v>552</v>
      </c>
      <c r="K1456" t="s">
        <v>1809</v>
      </c>
      <c r="L1456" t="str">
        <f>HYPERLINK("https://business-monitor.ch/de/companies/597259-opus-8-ag?utm_source=oberaargau","PROFIL ANSEHEN")</f>
        <v>PROFIL ANSEHEN</v>
      </c>
    </row>
    <row r="1457" spans="1:12" x14ac:dyDescent="0.2">
      <c r="A1457" t="s">
        <v>11199</v>
      </c>
      <c r="B1457" t="s">
        <v>11200</v>
      </c>
      <c r="C1457" t="s">
        <v>202</v>
      </c>
      <c r="E1457" t="s">
        <v>7236</v>
      </c>
      <c r="F1457">
        <v>3360</v>
      </c>
      <c r="G1457" t="s">
        <v>35</v>
      </c>
      <c r="H1457" t="s">
        <v>16</v>
      </c>
      <c r="I1457" t="s">
        <v>227</v>
      </c>
      <c r="J1457" t="s">
        <v>228</v>
      </c>
      <c r="K1457" t="s">
        <v>1809</v>
      </c>
      <c r="L1457" t="str">
        <f>HYPERLINK("https://business-monitor.ch/de/companies/1067437-propax-gmbh?utm_source=oberaargau","PROFIL ANSEHEN")</f>
        <v>PROFIL ANSEHEN</v>
      </c>
    </row>
    <row r="1458" spans="1:12" x14ac:dyDescent="0.2">
      <c r="A1458" t="s">
        <v>11253</v>
      </c>
      <c r="B1458" t="s">
        <v>11254</v>
      </c>
      <c r="C1458" t="s">
        <v>1812</v>
      </c>
      <c r="E1458" t="s">
        <v>11233</v>
      </c>
      <c r="F1458">
        <v>4537</v>
      </c>
      <c r="G1458" t="s">
        <v>113</v>
      </c>
      <c r="H1458" t="s">
        <v>16</v>
      </c>
      <c r="I1458" t="s">
        <v>1835</v>
      </c>
      <c r="J1458" t="s">
        <v>1836</v>
      </c>
      <c r="K1458" t="s">
        <v>1809</v>
      </c>
      <c r="L1458" t="str">
        <f>HYPERLINK("https://business-monitor.ch/de/companies/430279-jan-la-porte-haus-garten-waeschepflege?utm_source=oberaargau","PROFIL ANSEHEN")</f>
        <v>PROFIL ANSEHEN</v>
      </c>
    </row>
    <row r="1459" spans="1:12" x14ac:dyDescent="0.2">
      <c r="A1459" t="s">
        <v>7669</v>
      </c>
      <c r="B1459" t="s">
        <v>7670</v>
      </c>
      <c r="C1459" t="s">
        <v>202</v>
      </c>
      <c r="E1459" t="s">
        <v>11803</v>
      </c>
      <c r="F1459">
        <v>4950</v>
      </c>
      <c r="G1459" t="s">
        <v>15</v>
      </c>
      <c r="H1459" t="s">
        <v>16</v>
      </c>
      <c r="I1459" t="s">
        <v>551</v>
      </c>
      <c r="J1459" t="s">
        <v>552</v>
      </c>
      <c r="K1459" t="s">
        <v>1809</v>
      </c>
      <c r="L1459" t="str">
        <f>HYPERLINK("https://business-monitor.ch/de/companies/625180-djm-consulting-gmbh?utm_source=oberaargau","PROFIL ANSEHEN")</f>
        <v>PROFIL ANSEHEN</v>
      </c>
    </row>
    <row r="1460" spans="1:12" x14ac:dyDescent="0.2">
      <c r="A1460" t="s">
        <v>8823</v>
      </c>
      <c r="B1460" t="s">
        <v>8824</v>
      </c>
      <c r="C1460" t="s">
        <v>202</v>
      </c>
      <c r="E1460" t="s">
        <v>3229</v>
      </c>
      <c r="F1460">
        <v>4704</v>
      </c>
      <c r="G1460" t="s">
        <v>221</v>
      </c>
      <c r="H1460" t="s">
        <v>16</v>
      </c>
      <c r="I1460" t="s">
        <v>1324</v>
      </c>
      <c r="J1460" t="s">
        <v>1325</v>
      </c>
      <c r="K1460" t="s">
        <v>1809</v>
      </c>
      <c r="L1460" t="str">
        <f>HYPERLINK("https://business-monitor.ch/de/companies/341637-tst-tuerautomatik-gmbh?utm_source=oberaargau","PROFIL ANSEHEN")</f>
        <v>PROFIL ANSEHEN</v>
      </c>
    </row>
    <row r="1461" spans="1:12" x14ac:dyDescent="0.2">
      <c r="A1461" t="s">
        <v>6566</v>
      </c>
      <c r="B1461" t="s">
        <v>6567</v>
      </c>
      <c r="C1461" t="s">
        <v>2010</v>
      </c>
      <c r="E1461" t="s">
        <v>6568</v>
      </c>
      <c r="F1461">
        <v>3360</v>
      </c>
      <c r="G1461" t="s">
        <v>35</v>
      </c>
      <c r="H1461" t="s">
        <v>16</v>
      </c>
      <c r="I1461" t="s">
        <v>935</v>
      </c>
      <c r="J1461" t="s">
        <v>936</v>
      </c>
      <c r="K1461" t="s">
        <v>1809</v>
      </c>
      <c r="L1461" t="str">
        <f>HYPERLINK("https://business-monitor.ch/de/companies/226306-froelich-co?utm_source=oberaargau","PROFIL ANSEHEN")</f>
        <v>PROFIL ANSEHEN</v>
      </c>
    </row>
    <row r="1462" spans="1:12" x14ac:dyDescent="0.2">
      <c r="A1462" t="s">
        <v>10793</v>
      </c>
      <c r="B1462" t="s">
        <v>10794</v>
      </c>
      <c r="C1462" t="s">
        <v>13</v>
      </c>
      <c r="E1462" t="s">
        <v>6057</v>
      </c>
      <c r="F1462">
        <v>4900</v>
      </c>
      <c r="G1462" t="s">
        <v>41</v>
      </c>
      <c r="H1462" t="s">
        <v>16</v>
      </c>
      <c r="I1462" t="s">
        <v>935</v>
      </c>
      <c r="J1462" t="s">
        <v>936</v>
      </c>
      <c r="K1462" t="s">
        <v>1809</v>
      </c>
      <c r="L1462" t="str">
        <f>HYPERLINK("https://business-monitor.ch/de/companies/1101788-smart-immobilien-ag?utm_source=oberaargau","PROFIL ANSEHEN")</f>
        <v>PROFIL ANSEHEN</v>
      </c>
    </row>
    <row r="1463" spans="1:12" x14ac:dyDescent="0.2">
      <c r="A1463" t="s">
        <v>11824</v>
      </c>
      <c r="B1463" t="s">
        <v>11825</v>
      </c>
      <c r="C1463" t="s">
        <v>1812</v>
      </c>
      <c r="E1463" t="s">
        <v>7233</v>
      </c>
      <c r="F1463">
        <v>4914</v>
      </c>
      <c r="G1463" t="s">
        <v>105</v>
      </c>
      <c r="H1463" t="s">
        <v>16</v>
      </c>
      <c r="I1463" t="s">
        <v>331</v>
      </c>
      <c r="J1463" t="s">
        <v>332</v>
      </c>
      <c r="K1463" t="s">
        <v>1809</v>
      </c>
      <c r="L1463" t="str">
        <f>HYPERLINK("https://business-monitor.ch/de/companies/1154489-promechanik-inh-v-shabani?utm_source=oberaargau","PROFIL ANSEHEN")</f>
        <v>PROFIL ANSEHEN</v>
      </c>
    </row>
    <row r="1464" spans="1:12" x14ac:dyDescent="0.2">
      <c r="A1464" t="s">
        <v>8358</v>
      </c>
      <c r="B1464" t="s">
        <v>8359</v>
      </c>
      <c r="C1464" t="s">
        <v>1827</v>
      </c>
      <c r="E1464" t="s">
        <v>8360</v>
      </c>
      <c r="F1464">
        <v>4900</v>
      </c>
      <c r="G1464" t="s">
        <v>41</v>
      </c>
      <c r="H1464" t="s">
        <v>16</v>
      </c>
      <c r="I1464" t="s">
        <v>8361</v>
      </c>
      <c r="J1464" t="s">
        <v>8362</v>
      </c>
      <c r="K1464" t="s">
        <v>1809</v>
      </c>
      <c r="L1464" t="str">
        <f>HYPERLINK("https://business-monitor.ch/de/companies/181458-palexa-kurt-hoffmann-co?utm_source=oberaargau","PROFIL ANSEHEN")</f>
        <v>PROFIL ANSEHEN</v>
      </c>
    </row>
    <row r="1465" spans="1:12" x14ac:dyDescent="0.2">
      <c r="A1465" t="s">
        <v>11129</v>
      </c>
      <c r="B1465" t="s">
        <v>11130</v>
      </c>
      <c r="C1465" t="s">
        <v>1812</v>
      </c>
      <c r="E1465" t="s">
        <v>559</v>
      </c>
      <c r="F1465">
        <v>4900</v>
      </c>
      <c r="G1465" t="s">
        <v>41</v>
      </c>
      <c r="H1465" t="s">
        <v>16</v>
      </c>
      <c r="I1465" t="s">
        <v>260</v>
      </c>
      <c r="J1465" t="s">
        <v>261</v>
      </c>
      <c r="K1465" t="s">
        <v>1809</v>
      </c>
      <c r="L1465" t="str">
        <f>HYPERLINK("https://business-monitor.ch/de/companies/1116923-oldag-baumanagement?utm_source=oberaargau","PROFIL ANSEHEN")</f>
        <v>PROFIL ANSEHEN</v>
      </c>
    </row>
    <row r="1466" spans="1:12" x14ac:dyDescent="0.2">
      <c r="A1466" t="s">
        <v>7435</v>
      </c>
      <c r="B1466" t="s">
        <v>7436</v>
      </c>
      <c r="C1466" t="s">
        <v>202</v>
      </c>
      <c r="E1466" t="s">
        <v>4094</v>
      </c>
      <c r="F1466">
        <v>4922</v>
      </c>
      <c r="G1466" t="s">
        <v>99</v>
      </c>
      <c r="H1466" t="s">
        <v>16</v>
      </c>
      <c r="I1466" t="s">
        <v>733</v>
      </c>
      <c r="J1466" t="s">
        <v>734</v>
      </c>
      <c r="K1466" t="s">
        <v>1809</v>
      </c>
      <c r="L1466" t="str">
        <f>HYPERLINK("https://business-monitor.ch/de/companies/943447-imperial-cars24-gmbh?utm_source=oberaargau","PROFIL ANSEHEN")</f>
        <v>PROFIL ANSEHEN</v>
      </c>
    </row>
    <row r="1467" spans="1:12" x14ac:dyDescent="0.2">
      <c r="A1467" t="s">
        <v>11305</v>
      </c>
      <c r="B1467" t="s">
        <v>11306</v>
      </c>
      <c r="C1467" t="s">
        <v>202</v>
      </c>
      <c r="E1467" t="s">
        <v>11307</v>
      </c>
      <c r="F1467">
        <v>3375</v>
      </c>
      <c r="G1467" t="s">
        <v>667</v>
      </c>
      <c r="H1467" t="s">
        <v>16</v>
      </c>
      <c r="I1467" t="s">
        <v>2365</v>
      </c>
      <c r="J1467" t="s">
        <v>2366</v>
      </c>
      <c r="K1467" t="s">
        <v>1809</v>
      </c>
      <c r="L1467" t="str">
        <f>HYPERLINK("https://business-monitor.ch/de/companies/1128833-ingold-hof-gmbh?utm_source=oberaargau","PROFIL ANSEHEN")</f>
        <v>PROFIL ANSEHEN</v>
      </c>
    </row>
    <row r="1468" spans="1:12" x14ac:dyDescent="0.2">
      <c r="A1468" t="s">
        <v>5744</v>
      </c>
      <c r="B1468" t="s">
        <v>5745</v>
      </c>
      <c r="C1468" t="s">
        <v>202</v>
      </c>
      <c r="E1468" t="s">
        <v>5746</v>
      </c>
      <c r="F1468">
        <v>4900</v>
      </c>
      <c r="G1468" t="s">
        <v>41</v>
      </c>
      <c r="H1468" t="s">
        <v>16</v>
      </c>
      <c r="I1468" t="s">
        <v>77</v>
      </c>
      <c r="J1468" t="s">
        <v>78</v>
      </c>
      <c r="K1468" t="s">
        <v>1809</v>
      </c>
      <c r="L1468" t="str">
        <f>HYPERLINK("https://business-monitor.ch/de/companies/526972-gall-gu-gmbh?utm_source=oberaargau","PROFIL ANSEHEN")</f>
        <v>PROFIL ANSEHEN</v>
      </c>
    </row>
    <row r="1469" spans="1:12" x14ac:dyDescent="0.2">
      <c r="A1469" t="s">
        <v>13206</v>
      </c>
      <c r="B1469" t="s">
        <v>13207</v>
      </c>
      <c r="C1469" t="s">
        <v>202</v>
      </c>
      <c r="E1469" t="s">
        <v>573</v>
      </c>
      <c r="F1469">
        <v>4912</v>
      </c>
      <c r="G1469" t="s">
        <v>64</v>
      </c>
      <c r="H1469" t="s">
        <v>16</v>
      </c>
      <c r="I1469" t="s">
        <v>854</v>
      </c>
      <c r="J1469" t="s">
        <v>855</v>
      </c>
      <c r="K1469" t="s">
        <v>1809</v>
      </c>
      <c r="L1469" t="str">
        <f>HYPERLINK("https://business-monitor.ch/de/companies/1239691-belcore-it-gmbh?utm_source=oberaargau","PROFIL ANSEHEN")</f>
        <v>PROFIL ANSEHEN</v>
      </c>
    </row>
    <row r="1470" spans="1:12" x14ac:dyDescent="0.2">
      <c r="A1470" t="s">
        <v>3758</v>
      </c>
      <c r="B1470" t="s">
        <v>3759</v>
      </c>
      <c r="C1470" t="s">
        <v>13</v>
      </c>
      <c r="E1470" t="s">
        <v>11528</v>
      </c>
      <c r="F1470">
        <v>4537</v>
      </c>
      <c r="G1470" t="s">
        <v>113</v>
      </c>
      <c r="H1470" t="s">
        <v>16</v>
      </c>
      <c r="I1470" t="s">
        <v>186</v>
      </c>
      <c r="J1470" t="s">
        <v>187</v>
      </c>
      <c r="K1470" t="s">
        <v>1809</v>
      </c>
      <c r="L1470" t="str">
        <f>HYPERLINK("https://business-monitor.ch/de/companies/935934-rudolf-krenger-holding-ag?utm_source=oberaargau","PROFIL ANSEHEN")</f>
        <v>PROFIL ANSEHEN</v>
      </c>
    </row>
    <row r="1471" spans="1:12" x14ac:dyDescent="0.2">
      <c r="A1471" t="s">
        <v>4410</v>
      </c>
      <c r="B1471" t="s">
        <v>4411</v>
      </c>
      <c r="C1471" t="s">
        <v>202</v>
      </c>
      <c r="E1471" t="s">
        <v>4412</v>
      </c>
      <c r="F1471">
        <v>4900</v>
      </c>
      <c r="G1471" t="s">
        <v>41</v>
      </c>
      <c r="H1471" t="s">
        <v>16</v>
      </c>
      <c r="I1471" t="s">
        <v>935</v>
      </c>
      <c r="J1471" t="s">
        <v>936</v>
      </c>
      <c r="K1471" t="s">
        <v>1809</v>
      </c>
      <c r="L1471" t="str">
        <f>HYPERLINK("https://business-monitor.ch/de/companies/936018-sz-real-estate-services-gmbh?utm_source=oberaargau","PROFIL ANSEHEN")</f>
        <v>PROFIL ANSEHEN</v>
      </c>
    </row>
    <row r="1472" spans="1:12" x14ac:dyDescent="0.2">
      <c r="A1472" t="s">
        <v>9355</v>
      </c>
      <c r="B1472" t="s">
        <v>9356</v>
      </c>
      <c r="C1472" t="s">
        <v>13</v>
      </c>
      <c r="E1472" t="s">
        <v>14468</v>
      </c>
      <c r="F1472">
        <v>3360</v>
      </c>
      <c r="G1472" t="s">
        <v>35</v>
      </c>
      <c r="H1472" t="s">
        <v>16</v>
      </c>
      <c r="I1472" t="s">
        <v>157</v>
      </c>
      <c r="J1472" t="s">
        <v>158</v>
      </c>
      <c r="K1472" t="s">
        <v>1809</v>
      </c>
      <c r="L1472" t="str">
        <f>HYPERLINK("https://business-monitor.ch/de/companies/72454-hans-moser-co-ag?utm_source=oberaargau","PROFIL ANSEHEN")</f>
        <v>PROFIL ANSEHEN</v>
      </c>
    </row>
    <row r="1473" spans="1:12" x14ac:dyDescent="0.2">
      <c r="A1473" t="s">
        <v>11103</v>
      </c>
      <c r="B1473" t="s">
        <v>13588</v>
      </c>
      <c r="C1473" t="s">
        <v>202</v>
      </c>
      <c r="E1473" t="s">
        <v>3224</v>
      </c>
      <c r="F1473">
        <v>3380</v>
      </c>
      <c r="G1473" t="s">
        <v>29</v>
      </c>
      <c r="H1473" t="s">
        <v>16</v>
      </c>
      <c r="I1473" t="s">
        <v>10398</v>
      </c>
      <c r="J1473" t="s">
        <v>10399</v>
      </c>
      <c r="K1473" t="s">
        <v>1809</v>
      </c>
      <c r="L1473" t="str">
        <f>HYPERLINK("https://business-monitor.ch/de/companies/420500-cn-mobility-gmbh?utm_source=oberaargau","PROFIL ANSEHEN")</f>
        <v>PROFIL ANSEHEN</v>
      </c>
    </row>
    <row r="1474" spans="1:12" x14ac:dyDescent="0.2">
      <c r="A1474" t="s">
        <v>11792</v>
      </c>
      <c r="B1474" t="s">
        <v>11793</v>
      </c>
      <c r="C1474" t="s">
        <v>1922</v>
      </c>
      <c r="D1474" t="s">
        <v>11794</v>
      </c>
      <c r="E1474" t="s">
        <v>11795</v>
      </c>
      <c r="F1474">
        <v>4912</v>
      </c>
      <c r="G1474" t="s">
        <v>64</v>
      </c>
      <c r="H1474" t="s">
        <v>16</v>
      </c>
      <c r="I1474" t="s">
        <v>1924</v>
      </c>
      <c r="J1474" t="s">
        <v>1925</v>
      </c>
      <c r="K1474" t="s">
        <v>1809</v>
      </c>
      <c r="L1474" t="str">
        <f>HYPERLINK("https://business-monitor.ch/de/companies/1158704-stiftung-haus-der-musik-aarwangen?utm_source=oberaargau","PROFIL ANSEHEN")</f>
        <v>PROFIL ANSEHEN</v>
      </c>
    </row>
    <row r="1475" spans="1:12" x14ac:dyDescent="0.2">
      <c r="A1475" t="s">
        <v>13402</v>
      </c>
      <c r="B1475" t="s">
        <v>13403</v>
      </c>
      <c r="C1475" t="s">
        <v>202</v>
      </c>
      <c r="E1475" t="s">
        <v>14469</v>
      </c>
      <c r="F1475">
        <v>4704</v>
      </c>
      <c r="G1475" t="s">
        <v>221</v>
      </c>
      <c r="H1475" t="s">
        <v>16</v>
      </c>
      <c r="I1475" t="s">
        <v>1296</v>
      </c>
      <c r="J1475" t="s">
        <v>1297</v>
      </c>
      <c r="K1475" t="s">
        <v>1809</v>
      </c>
      <c r="L1475" t="str">
        <f>HYPERLINK("https://business-monitor.ch/de/companies/1242831-we-capture-gmbh?utm_source=oberaargau","PROFIL ANSEHEN")</f>
        <v>PROFIL ANSEHEN</v>
      </c>
    </row>
    <row r="1476" spans="1:12" x14ac:dyDescent="0.2">
      <c r="A1476" t="s">
        <v>6336</v>
      </c>
      <c r="B1476" t="s">
        <v>6337</v>
      </c>
      <c r="C1476" t="s">
        <v>1812</v>
      </c>
      <c r="E1476" t="s">
        <v>5022</v>
      </c>
      <c r="F1476">
        <v>3360</v>
      </c>
      <c r="G1476" t="s">
        <v>35</v>
      </c>
      <c r="H1476" t="s">
        <v>16</v>
      </c>
      <c r="I1476" t="s">
        <v>77</v>
      </c>
      <c r="J1476" t="s">
        <v>78</v>
      </c>
      <c r="K1476" t="s">
        <v>1809</v>
      </c>
      <c r="L1476" t="str">
        <f>HYPERLINK("https://business-monitor.ch/de/companies/324536-p-breuers-generalbau?utm_source=oberaargau","PROFIL ANSEHEN")</f>
        <v>PROFIL ANSEHEN</v>
      </c>
    </row>
    <row r="1477" spans="1:12" x14ac:dyDescent="0.2">
      <c r="A1477" t="s">
        <v>5876</v>
      </c>
      <c r="B1477" t="s">
        <v>5877</v>
      </c>
      <c r="C1477" t="s">
        <v>202</v>
      </c>
      <c r="E1477" t="s">
        <v>5878</v>
      </c>
      <c r="F1477">
        <v>4704</v>
      </c>
      <c r="G1477" t="s">
        <v>221</v>
      </c>
      <c r="H1477" t="s">
        <v>16</v>
      </c>
      <c r="I1477" t="s">
        <v>464</v>
      </c>
      <c r="J1477" t="s">
        <v>465</v>
      </c>
      <c r="K1477" t="s">
        <v>1809</v>
      </c>
      <c r="L1477" t="str">
        <f>HYPERLINK("https://business-monitor.ch/de/companies/1075355-kral-transport-gmbh?utm_source=oberaargau","PROFIL ANSEHEN")</f>
        <v>PROFIL ANSEHEN</v>
      </c>
    </row>
    <row r="1478" spans="1:12" x14ac:dyDescent="0.2">
      <c r="A1478" t="s">
        <v>5921</v>
      </c>
      <c r="B1478" t="s">
        <v>5922</v>
      </c>
      <c r="C1478" t="s">
        <v>202</v>
      </c>
      <c r="D1478" t="s">
        <v>5923</v>
      </c>
      <c r="E1478" t="s">
        <v>5924</v>
      </c>
      <c r="F1478">
        <v>4954</v>
      </c>
      <c r="G1478" t="s">
        <v>359</v>
      </c>
      <c r="H1478" t="s">
        <v>16</v>
      </c>
      <c r="I1478" t="s">
        <v>781</v>
      </c>
      <c r="J1478" t="s">
        <v>782</v>
      </c>
      <c r="K1478" t="s">
        <v>1809</v>
      </c>
      <c r="L1478" t="str">
        <f>HYPERLINK("https://business-monitor.ch/de/companies/487818-kathriner-gmbh?utm_source=oberaargau","PROFIL ANSEHEN")</f>
        <v>PROFIL ANSEHEN</v>
      </c>
    </row>
    <row r="1479" spans="1:12" x14ac:dyDescent="0.2">
      <c r="A1479" t="s">
        <v>10226</v>
      </c>
      <c r="B1479" t="s">
        <v>10227</v>
      </c>
      <c r="C1479" t="s">
        <v>202</v>
      </c>
      <c r="E1479" t="s">
        <v>2629</v>
      </c>
      <c r="F1479">
        <v>4912</v>
      </c>
      <c r="G1479" t="s">
        <v>64</v>
      </c>
      <c r="H1479" t="s">
        <v>16</v>
      </c>
      <c r="I1479" t="s">
        <v>186</v>
      </c>
      <c r="J1479" t="s">
        <v>187</v>
      </c>
      <c r="K1479" t="s">
        <v>1809</v>
      </c>
      <c r="L1479" t="str">
        <f>HYPERLINK("https://business-monitor.ch/de/companies/606962-jas-101-gmbh?utm_source=oberaargau","PROFIL ANSEHEN")</f>
        <v>PROFIL ANSEHEN</v>
      </c>
    </row>
    <row r="1480" spans="1:12" x14ac:dyDescent="0.2">
      <c r="A1480" t="s">
        <v>9645</v>
      </c>
      <c r="B1480" t="s">
        <v>9646</v>
      </c>
      <c r="C1480" t="s">
        <v>13</v>
      </c>
      <c r="D1480" t="s">
        <v>9647</v>
      </c>
      <c r="E1480" t="s">
        <v>63</v>
      </c>
      <c r="F1480">
        <v>4912</v>
      </c>
      <c r="G1480" t="s">
        <v>64</v>
      </c>
      <c r="H1480" t="s">
        <v>16</v>
      </c>
      <c r="I1480" t="s">
        <v>182</v>
      </c>
      <c r="J1480" t="s">
        <v>183</v>
      </c>
      <c r="K1480" t="s">
        <v>1809</v>
      </c>
      <c r="L1480" t="str">
        <f>HYPERLINK("https://business-monitor.ch/de/companies/988075-althaus-holding-ag?utm_source=oberaargau","PROFIL ANSEHEN")</f>
        <v>PROFIL ANSEHEN</v>
      </c>
    </row>
    <row r="1481" spans="1:12" x14ac:dyDescent="0.2">
      <c r="A1481" t="s">
        <v>9816</v>
      </c>
      <c r="B1481" t="s">
        <v>9817</v>
      </c>
      <c r="C1481" t="s">
        <v>202</v>
      </c>
      <c r="E1481" t="s">
        <v>9818</v>
      </c>
      <c r="F1481">
        <v>4944</v>
      </c>
      <c r="G1481" t="s">
        <v>1176</v>
      </c>
      <c r="H1481" t="s">
        <v>16</v>
      </c>
      <c r="I1481" t="s">
        <v>1337</v>
      </c>
      <c r="J1481" t="s">
        <v>1338</v>
      </c>
      <c r="K1481" t="s">
        <v>1809</v>
      </c>
      <c r="L1481" t="str">
        <f>HYPERLINK("https://business-monitor.ch/de/companies/1009146-aeschlimann-sport-design-gmbh?utm_source=oberaargau","PROFIL ANSEHEN")</f>
        <v>PROFIL ANSEHEN</v>
      </c>
    </row>
    <row r="1482" spans="1:12" x14ac:dyDescent="0.2">
      <c r="A1482" t="s">
        <v>4145</v>
      </c>
      <c r="B1482" t="s">
        <v>4146</v>
      </c>
      <c r="C1482" t="s">
        <v>4147</v>
      </c>
      <c r="E1482" t="s">
        <v>4148</v>
      </c>
      <c r="F1482">
        <v>4900</v>
      </c>
      <c r="G1482" t="s">
        <v>41</v>
      </c>
      <c r="H1482" t="s">
        <v>16</v>
      </c>
      <c r="K1482" t="s">
        <v>1809</v>
      </c>
      <c r="L1482" t="str">
        <f>HYPERLINK("https://business-monitor.ch/de/companies/1025035-oerlikon-balzers-coating-ag-balzers-fl-zweigniederlassung-langenthal?utm_source=oberaargau","PROFIL ANSEHEN")</f>
        <v>PROFIL ANSEHEN</v>
      </c>
    </row>
    <row r="1483" spans="1:12" x14ac:dyDescent="0.2">
      <c r="A1483" t="s">
        <v>5595</v>
      </c>
      <c r="B1483" t="s">
        <v>5596</v>
      </c>
      <c r="C1483" t="s">
        <v>1812</v>
      </c>
      <c r="E1483" t="s">
        <v>5597</v>
      </c>
      <c r="F1483">
        <v>4900</v>
      </c>
      <c r="G1483" t="s">
        <v>41</v>
      </c>
      <c r="H1483" t="s">
        <v>16</v>
      </c>
      <c r="I1483" t="s">
        <v>551</v>
      </c>
      <c r="J1483" t="s">
        <v>552</v>
      </c>
      <c r="K1483" t="s">
        <v>1809</v>
      </c>
      <c r="L1483" t="str">
        <f>HYPERLINK("https://business-monitor.ch/de/companies/1069668-geiser-consulting?utm_source=oberaargau","PROFIL ANSEHEN")</f>
        <v>PROFIL ANSEHEN</v>
      </c>
    </row>
    <row r="1484" spans="1:12" x14ac:dyDescent="0.2">
      <c r="A1484" t="s">
        <v>4600</v>
      </c>
      <c r="B1484" t="s">
        <v>4601</v>
      </c>
      <c r="C1484" t="s">
        <v>13</v>
      </c>
      <c r="E1484" t="s">
        <v>4602</v>
      </c>
      <c r="F1484">
        <v>4932</v>
      </c>
      <c r="G1484" t="s">
        <v>325</v>
      </c>
      <c r="H1484" t="s">
        <v>16</v>
      </c>
      <c r="I1484" t="s">
        <v>486</v>
      </c>
      <c r="J1484" t="s">
        <v>487</v>
      </c>
      <c r="K1484" t="s">
        <v>1809</v>
      </c>
      <c r="L1484" t="str">
        <f>HYPERLINK("https://business-monitor.ch/de/companies/642588-eggimann-metallbau-ag?utm_source=oberaargau","PROFIL ANSEHEN")</f>
        <v>PROFIL ANSEHEN</v>
      </c>
    </row>
    <row r="1485" spans="1:12" x14ac:dyDescent="0.2">
      <c r="A1485" t="s">
        <v>2380</v>
      </c>
      <c r="B1485" t="s">
        <v>2381</v>
      </c>
      <c r="C1485" t="s">
        <v>1812</v>
      </c>
      <c r="E1485" t="s">
        <v>2382</v>
      </c>
      <c r="F1485">
        <v>4932</v>
      </c>
      <c r="G1485" t="s">
        <v>325</v>
      </c>
      <c r="H1485" t="s">
        <v>16</v>
      </c>
      <c r="I1485" t="s">
        <v>59</v>
      </c>
      <c r="J1485" t="s">
        <v>60</v>
      </c>
      <c r="K1485" t="s">
        <v>1809</v>
      </c>
      <c r="L1485" t="str">
        <f>HYPERLINK("https://business-monitor.ch/de/companies/73894-ernst-koelliker?utm_source=oberaargau","PROFIL ANSEHEN")</f>
        <v>PROFIL ANSEHEN</v>
      </c>
    </row>
    <row r="1486" spans="1:12" x14ac:dyDescent="0.2">
      <c r="A1486" t="s">
        <v>6585</v>
      </c>
      <c r="B1486" t="s">
        <v>6586</v>
      </c>
      <c r="C1486" t="s">
        <v>13</v>
      </c>
      <c r="E1486" t="s">
        <v>1839</v>
      </c>
      <c r="F1486">
        <v>4914</v>
      </c>
      <c r="G1486" t="s">
        <v>717</v>
      </c>
      <c r="H1486" t="s">
        <v>16</v>
      </c>
      <c r="I1486" t="s">
        <v>157</v>
      </c>
      <c r="J1486" t="s">
        <v>158</v>
      </c>
      <c r="K1486" t="s">
        <v>1809</v>
      </c>
      <c r="L1486" t="str">
        <f>HYPERLINK("https://business-monitor.ch/de/companies/212792-rudolf-ulmann-ag?utm_source=oberaargau","PROFIL ANSEHEN")</f>
        <v>PROFIL ANSEHEN</v>
      </c>
    </row>
    <row r="1487" spans="1:12" x14ac:dyDescent="0.2">
      <c r="A1487" t="s">
        <v>12047</v>
      </c>
      <c r="B1487" t="s">
        <v>12048</v>
      </c>
      <c r="C1487" t="s">
        <v>202</v>
      </c>
      <c r="E1487" t="s">
        <v>12049</v>
      </c>
      <c r="F1487">
        <v>3367</v>
      </c>
      <c r="G1487" t="s">
        <v>455</v>
      </c>
      <c r="H1487" t="s">
        <v>16</v>
      </c>
      <c r="I1487" t="s">
        <v>629</v>
      </c>
      <c r="J1487" t="s">
        <v>630</v>
      </c>
      <c r="K1487" t="s">
        <v>1809</v>
      </c>
      <c r="L1487" t="str">
        <f>HYPERLINK("https://business-monitor.ch/de/companies/1187787-phonepic-production-gmbh?utm_source=oberaargau","PROFIL ANSEHEN")</f>
        <v>PROFIL ANSEHEN</v>
      </c>
    </row>
    <row r="1488" spans="1:12" x14ac:dyDescent="0.2">
      <c r="A1488" t="s">
        <v>6075</v>
      </c>
      <c r="B1488" t="s">
        <v>6076</v>
      </c>
      <c r="C1488" t="s">
        <v>1922</v>
      </c>
      <c r="E1488" t="s">
        <v>6077</v>
      </c>
      <c r="F1488">
        <v>4954</v>
      </c>
      <c r="G1488" t="s">
        <v>359</v>
      </c>
      <c r="H1488" t="s">
        <v>16</v>
      </c>
      <c r="I1488" t="s">
        <v>2591</v>
      </c>
      <c r="J1488" t="s">
        <v>2592</v>
      </c>
      <c r="K1488" t="s">
        <v>1809</v>
      </c>
      <c r="L1488" t="str">
        <f>HYPERLINK("https://business-monitor.ch/de/companies/413487-stiftung-alterswohnungen-wyssachen-alwo?utm_source=oberaargau","PROFIL ANSEHEN")</f>
        <v>PROFIL ANSEHEN</v>
      </c>
    </row>
    <row r="1489" spans="1:12" x14ac:dyDescent="0.2">
      <c r="A1489" t="s">
        <v>13350</v>
      </c>
      <c r="B1489" t="s">
        <v>13351</v>
      </c>
      <c r="C1489" t="s">
        <v>1812</v>
      </c>
      <c r="E1489" t="s">
        <v>13352</v>
      </c>
      <c r="F1489">
        <v>4704</v>
      </c>
      <c r="G1489" t="s">
        <v>221</v>
      </c>
      <c r="H1489" t="s">
        <v>16</v>
      </c>
      <c r="I1489" t="s">
        <v>1998</v>
      </c>
      <c r="J1489" t="s">
        <v>1999</v>
      </c>
      <c r="K1489" t="s">
        <v>1809</v>
      </c>
      <c r="L1489" t="str">
        <f>HYPERLINK("https://business-monitor.ch/de/companies/1250272-emoldo-ericek?utm_source=oberaargau","PROFIL ANSEHEN")</f>
        <v>PROFIL ANSEHEN</v>
      </c>
    </row>
    <row r="1490" spans="1:12" x14ac:dyDescent="0.2">
      <c r="A1490" t="s">
        <v>2728</v>
      </c>
      <c r="B1490" t="s">
        <v>2729</v>
      </c>
      <c r="C1490" t="s">
        <v>1827</v>
      </c>
      <c r="E1490" t="s">
        <v>2730</v>
      </c>
      <c r="F1490">
        <v>4704</v>
      </c>
      <c r="G1490" t="s">
        <v>221</v>
      </c>
      <c r="H1490" t="s">
        <v>16</v>
      </c>
      <c r="I1490" t="s">
        <v>260</v>
      </c>
      <c r="J1490" t="s">
        <v>261</v>
      </c>
      <c r="K1490" t="s">
        <v>1809</v>
      </c>
      <c r="L1490" t="str">
        <f>HYPERLINK("https://business-monitor.ch/de/companies/457087-keramosa-group-batsilas-co?utm_source=oberaargau","PROFIL ANSEHEN")</f>
        <v>PROFIL ANSEHEN</v>
      </c>
    </row>
    <row r="1491" spans="1:12" x14ac:dyDescent="0.2">
      <c r="A1491" t="s">
        <v>3674</v>
      </c>
      <c r="B1491" t="s">
        <v>3675</v>
      </c>
      <c r="C1491" t="s">
        <v>13</v>
      </c>
      <c r="E1491" t="s">
        <v>2884</v>
      </c>
      <c r="F1491">
        <v>3360</v>
      </c>
      <c r="G1491" t="s">
        <v>35</v>
      </c>
      <c r="H1491" t="s">
        <v>16</v>
      </c>
      <c r="I1491" t="s">
        <v>906</v>
      </c>
      <c r="J1491" t="s">
        <v>907</v>
      </c>
      <c r="K1491" t="s">
        <v>1809</v>
      </c>
      <c r="L1491" t="str">
        <f>HYPERLINK("https://business-monitor.ch/de/companies/33400-elektro-gygax-verwaltungs-ag?utm_source=oberaargau","PROFIL ANSEHEN")</f>
        <v>PROFIL ANSEHEN</v>
      </c>
    </row>
    <row r="1492" spans="1:12" x14ac:dyDescent="0.2">
      <c r="A1492" t="s">
        <v>11477</v>
      </c>
      <c r="B1492" t="s">
        <v>11478</v>
      </c>
      <c r="C1492" t="s">
        <v>1812</v>
      </c>
      <c r="E1492" t="s">
        <v>11479</v>
      </c>
      <c r="F1492">
        <v>4536</v>
      </c>
      <c r="G1492" t="s">
        <v>1395</v>
      </c>
      <c r="H1492" t="s">
        <v>16</v>
      </c>
      <c r="I1492" t="s">
        <v>2748</v>
      </c>
      <c r="J1492" t="s">
        <v>2749</v>
      </c>
      <c r="K1492" t="s">
        <v>1809</v>
      </c>
      <c r="L1492" t="str">
        <f>HYPERLINK("https://business-monitor.ch/de/companies/1138429-wingsofsoul-nadine-cimeli?utm_source=oberaargau","PROFIL ANSEHEN")</f>
        <v>PROFIL ANSEHEN</v>
      </c>
    </row>
    <row r="1493" spans="1:12" x14ac:dyDescent="0.2">
      <c r="A1493" t="s">
        <v>2479</v>
      </c>
      <c r="B1493" t="s">
        <v>2480</v>
      </c>
      <c r="C1493" t="s">
        <v>202</v>
      </c>
      <c r="E1493" t="s">
        <v>2481</v>
      </c>
      <c r="F1493">
        <v>4537</v>
      </c>
      <c r="G1493" t="s">
        <v>113</v>
      </c>
      <c r="H1493" t="s">
        <v>16</v>
      </c>
      <c r="I1493" t="s">
        <v>232</v>
      </c>
      <c r="J1493" t="s">
        <v>233</v>
      </c>
      <c r="K1493" t="s">
        <v>1809</v>
      </c>
      <c r="L1493" t="str">
        <f>HYPERLINK("https://business-monitor.ch/de/companies/462026-sfg-treuhand-gmbh?utm_source=oberaargau","PROFIL ANSEHEN")</f>
        <v>PROFIL ANSEHEN</v>
      </c>
    </row>
    <row r="1494" spans="1:12" x14ac:dyDescent="0.2">
      <c r="A1494" t="s">
        <v>12281</v>
      </c>
      <c r="B1494" t="s">
        <v>12282</v>
      </c>
      <c r="C1494" t="s">
        <v>1812</v>
      </c>
      <c r="E1494" t="s">
        <v>12283</v>
      </c>
      <c r="F1494">
        <v>4900</v>
      </c>
      <c r="G1494" t="s">
        <v>41</v>
      </c>
      <c r="H1494" t="s">
        <v>16</v>
      </c>
      <c r="I1494" t="s">
        <v>3861</v>
      </c>
      <c r="J1494" t="s">
        <v>3862</v>
      </c>
      <c r="K1494" t="s">
        <v>1809</v>
      </c>
      <c r="L1494" t="str">
        <f>HYPERLINK("https://business-monitor.ch/de/companies/1193524-experte-anaesthesie-emini?utm_source=oberaargau","PROFIL ANSEHEN")</f>
        <v>PROFIL ANSEHEN</v>
      </c>
    </row>
    <row r="1495" spans="1:12" x14ac:dyDescent="0.2">
      <c r="A1495" t="s">
        <v>5865</v>
      </c>
      <c r="B1495" t="s">
        <v>5866</v>
      </c>
      <c r="C1495" t="s">
        <v>13</v>
      </c>
      <c r="E1495" t="s">
        <v>1207</v>
      </c>
      <c r="F1495">
        <v>4704</v>
      </c>
      <c r="G1495" t="s">
        <v>221</v>
      </c>
      <c r="H1495" t="s">
        <v>16</v>
      </c>
      <c r="I1495" t="s">
        <v>935</v>
      </c>
      <c r="J1495" t="s">
        <v>936</v>
      </c>
      <c r="K1495" t="s">
        <v>1809</v>
      </c>
      <c r="L1495" t="str">
        <f>HYPERLINK("https://business-monitor.ch/de/companies/506135-talia-immo-ag?utm_source=oberaargau","PROFIL ANSEHEN")</f>
        <v>PROFIL ANSEHEN</v>
      </c>
    </row>
    <row r="1496" spans="1:12" x14ac:dyDescent="0.2">
      <c r="A1496" t="s">
        <v>10541</v>
      </c>
      <c r="B1496" t="s">
        <v>10542</v>
      </c>
      <c r="C1496" t="s">
        <v>13</v>
      </c>
      <c r="E1496" t="s">
        <v>1014</v>
      </c>
      <c r="F1496">
        <v>4900</v>
      </c>
      <c r="G1496" t="s">
        <v>41</v>
      </c>
      <c r="H1496" t="s">
        <v>16</v>
      </c>
      <c r="I1496" t="s">
        <v>935</v>
      </c>
      <c r="J1496" t="s">
        <v>936</v>
      </c>
      <c r="K1496" t="s">
        <v>1809</v>
      </c>
      <c r="L1496" t="str">
        <f>HYPERLINK("https://business-monitor.ch/de/companies/483395-sagibach-immobilien-ag?utm_source=oberaargau","PROFIL ANSEHEN")</f>
        <v>PROFIL ANSEHEN</v>
      </c>
    </row>
    <row r="1497" spans="1:12" x14ac:dyDescent="0.2">
      <c r="A1497" t="s">
        <v>9983</v>
      </c>
      <c r="B1497" t="s">
        <v>9984</v>
      </c>
      <c r="C1497" t="s">
        <v>202</v>
      </c>
      <c r="E1497" t="s">
        <v>9985</v>
      </c>
      <c r="F1497">
        <v>4933</v>
      </c>
      <c r="G1497" t="s">
        <v>3812</v>
      </c>
      <c r="H1497" t="s">
        <v>16</v>
      </c>
      <c r="I1497" t="s">
        <v>4105</v>
      </c>
      <c r="J1497" t="s">
        <v>4106</v>
      </c>
      <c r="K1497" t="s">
        <v>1809</v>
      </c>
      <c r="L1497" t="str">
        <f>HYPERLINK("https://business-monitor.ch/de/companies/730927-heart-five-gmbh?utm_source=oberaargau","PROFIL ANSEHEN")</f>
        <v>PROFIL ANSEHEN</v>
      </c>
    </row>
    <row r="1498" spans="1:12" x14ac:dyDescent="0.2">
      <c r="A1498" t="s">
        <v>10047</v>
      </c>
      <c r="B1498" t="s">
        <v>10048</v>
      </c>
      <c r="C1498" t="s">
        <v>13</v>
      </c>
      <c r="E1498" t="s">
        <v>10049</v>
      </c>
      <c r="F1498">
        <v>4704</v>
      </c>
      <c r="G1498" t="s">
        <v>221</v>
      </c>
      <c r="H1498" t="s">
        <v>16</v>
      </c>
      <c r="I1498" t="s">
        <v>1267</v>
      </c>
      <c r="J1498" t="s">
        <v>1268</v>
      </c>
      <c r="K1498" t="s">
        <v>1809</v>
      </c>
      <c r="L1498" t="str">
        <f>HYPERLINK("https://business-monitor.ch/de/companies/702767-alpine-professional-ag?utm_source=oberaargau","PROFIL ANSEHEN")</f>
        <v>PROFIL ANSEHEN</v>
      </c>
    </row>
    <row r="1499" spans="1:12" x14ac:dyDescent="0.2">
      <c r="A1499" t="s">
        <v>4384</v>
      </c>
      <c r="B1499" t="s">
        <v>4385</v>
      </c>
      <c r="C1499" t="s">
        <v>202</v>
      </c>
      <c r="E1499" t="s">
        <v>1522</v>
      </c>
      <c r="F1499">
        <v>4934</v>
      </c>
      <c r="G1499" t="s">
        <v>670</v>
      </c>
      <c r="H1499" t="s">
        <v>16</v>
      </c>
      <c r="I1499" t="s">
        <v>10783</v>
      </c>
      <c r="J1499" t="s">
        <v>10784</v>
      </c>
      <c r="K1499" t="s">
        <v>1809</v>
      </c>
      <c r="L1499" t="str">
        <f>HYPERLINK("https://business-monitor.ch/de/companies/948434-smart-sailor-gmbh?utm_source=oberaargau","PROFIL ANSEHEN")</f>
        <v>PROFIL ANSEHEN</v>
      </c>
    </row>
    <row r="1500" spans="1:12" x14ac:dyDescent="0.2">
      <c r="A1500" t="s">
        <v>6251</v>
      </c>
      <c r="B1500" t="s">
        <v>6252</v>
      </c>
      <c r="C1500" t="s">
        <v>202</v>
      </c>
      <c r="E1500" t="s">
        <v>6253</v>
      </c>
      <c r="F1500">
        <v>4900</v>
      </c>
      <c r="G1500" t="s">
        <v>41</v>
      </c>
      <c r="H1500" t="s">
        <v>16</v>
      </c>
      <c r="I1500" t="s">
        <v>551</v>
      </c>
      <c r="J1500" t="s">
        <v>552</v>
      </c>
      <c r="K1500" t="s">
        <v>1809</v>
      </c>
      <c r="L1500" t="str">
        <f>HYPERLINK("https://business-monitor.ch/de/companies/729299-kreativtraining-ch-gmbh?utm_source=oberaargau","PROFIL ANSEHEN")</f>
        <v>PROFIL ANSEHEN</v>
      </c>
    </row>
    <row r="1501" spans="1:12" x14ac:dyDescent="0.2">
      <c r="A1501" t="s">
        <v>9813</v>
      </c>
      <c r="B1501" t="s">
        <v>9814</v>
      </c>
      <c r="C1501" t="s">
        <v>202</v>
      </c>
      <c r="E1501" t="s">
        <v>9815</v>
      </c>
      <c r="F1501">
        <v>4938</v>
      </c>
      <c r="G1501" t="s">
        <v>1909</v>
      </c>
      <c r="H1501" t="s">
        <v>16</v>
      </c>
      <c r="I1501" t="s">
        <v>182</v>
      </c>
      <c r="J1501" t="s">
        <v>183</v>
      </c>
      <c r="K1501" t="s">
        <v>1809</v>
      </c>
      <c r="L1501" t="str">
        <f>HYPERLINK("https://business-monitor.ch/de/companies/1010930-heinz-kilchenmann-holding-gmbh?utm_source=oberaargau","PROFIL ANSEHEN")</f>
        <v>PROFIL ANSEHEN</v>
      </c>
    </row>
    <row r="1502" spans="1:12" x14ac:dyDescent="0.2">
      <c r="A1502" t="s">
        <v>3531</v>
      </c>
      <c r="B1502" t="s">
        <v>3532</v>
      </c>
      <c r="C1502" t="s">
        <v>13</v>
      </c>
      <c r="F1502">
        <v>4953</v>
      </c>
      <c r="G1502" t="s">
        <v>2311</v>
      </c>
      <c r="H1502" t="s">
        <v>16</v>
      </c>
      <c r="I1502" t="s">
        <v>624</v>
      </c>
      <c r="J1502" t="s">
        <v>625</v>
      </c>
      <c r="K1502" t="s">
        <v>1809</v>
      </c>
      <c r="L1502" t="str">
        <f>HYPERLINK("https://business-monitor.ch/de/companies/143972-holzbau-baertschi-ag?utm_source=oberaargau","PROFIL ANSEHEN")</f>
        <v>PROFIL ANSEHEN</v>
      </c>
    </row>
    <row r="1503" spans="1:12" x14ac:dyDescent="0.2">
      <c r="A1503" t="s">
        <v>9408</v>
      </c>
      <c r="B1503" t="s">
        <v>9409</v>
      </c>
      <c r="C1503" t="s">
        <v>13</v>
      </c>
      <c r="D1503" t="s">
        <v>13589</v>
      </c>
      <c r="E1503" t="s">
        <v>13590</v>
      </c>
      <c r="F1503">
        <v>4950</v>
      </c>
      <c r="G1503" t="s">
        <v>15</v>
      </c>
      <c r="H1503" t="s">
        <v>16</v>
      </c>
      <c r="I1503" t="s">
        <v>186</v>
      </c>
      <c r="J1503" t="s">
        <v>187</v>
      </c>
      <c r="K1503" t="s">
        <v>1809</v>
      </c>
      <c r="L1503" t="str">
        <f>HYPERLINK("https://business-monitor.ch/de/companies/35850-graenicher-beteiligungs-ag?utm_source=oberaargau","PROFIL ANSEHEN")</f>
        <v>PROFIL ANSEHEN</v>
      </c>
    </row>
    <row r="1504" spans="1:12" x14ac:dyDescent="0.2">
      <c r="A1504" t="s">
        <v>2967</v>
      </c>
      <c r="B1504" t="s">
        <v>2968</v>
      </c>
      <c r="C1504" t="s">
        <v>13</v>
      </c>
      <c r="E1504" t="s">
        <v>2969</v>
      </c>
      <c r="F1504">
        <v>4536</v>
      </c>
      <c r="G1504" t="s">
        <v>1395</v>
      </c>
      <c r="H1504" t="s">
        <v>16</v>
      </c>
      <c r="I1504" t="s">
        <v>2970</v>
      </c>
      <c r="J1504" t="s">
        <v>2971</v>
      </c>
      <c r="K1504" t="s">
        <v>1809</v>
      </c>
      <c r="L1504" t="str">
        <f>HYPERLINK("https://business-monitor.ch/de/companies/366066-loewen-savoir-vivre-ag?utm_source=oberaargau","PROFIL ANSEHEN")</f>
        <v>PROFIL ANSEHEN</v>
      </c>
    </row>
    <row r="1505" spans="1:12" x14ac:dyDescent="0.2">
      <c r="A1505" t="s">
        <v>8851</v>
      </c>
      <c r="B1505" t="s">
        <v>8852</v>
      </c>
      <c r="C1505" t="s">
        <v>13</v>
      </c>
      <c r="E1505" t="s">
        <v>8853</v>
      </c>
      <c r="F1505">
        <v>4917</v>
      </c>
      <c r="G1505" t="s">
        <v>376</v>
      </c>
      <c r="H1505" t="s">
        <v>16</v>
      </c>
      <c r="I1505" t="s">
        <v>2213</v>
      </c>
      <c r="J1505" t="s">
        <v>2214</v>
      </c>
      <c r="K1505" t="s">
        <v>1809</v>
      </c>
      <c r="L1505" t="str">
        <f>HYPERLINK("https://business-monitor.ch/de/companies/321460-alpine-western-horses-ag?utm_source=oberaargau","PROFIL ANSEHEN")</f>
        <v>PROFIL ANSEHEN</v>
      </c>
    </row>
    <row r="1506" spans="1:12" x14ac:dyDescent="0.2">
      <c r="A1506" t="s">
        <v>7597</v>
      </c>
      <c r="B1506" t="s">
        <v>7598</v>
      </c>
      <c r="C1506" t="s">
        <v>1812</v>
      </c>
      <c r="E1506" t="s">
        <v>4391</v>
      </c>
      <c r="F1506">
        <v>4914</v>
      </c>
      <c r="G1506" t="s">
        <v>105</v>
      </c>
      <c r="H1506" t="s">
        <v>16</v>
      </c>
      <c r="I1506" t="s">
        <v>2440</v>
      </c>
      <c r="J1506" t="s">
        <v>2441</v>
      </c>
      <c r="K1506" t="s">
        <v>1809</v>
      </c>
      <c r="L1506" t="str">
        <f>HYPERLINK("https://business-monitor.ch/de/companies/669980-pestoni-bodenbelaege?utm_source=oberaargau","PROFIL ANSEHEN")</f>
        <v>PROFIL ANSEHEN</v>
      </c>
    </row>
    <row r="1507" spans="1:12" x14ac:dyDescent="0.2">
      <c r="A1507" t="s">
        <v>11319</v>
      </c>
      <c r="B1507" t="s">
        <v>11320</v>
      </c>
      <c r="C1507" t="s">
        <v>202</v>
      </c>
      <c r="E1507" t="s">
        <v>12283</v>
      </c>
      <c r="F1507">
        <v>4900</v>
      </c>
      <c r="G1507" t="s">
        <v>41</v>
      </c>
      <c r="H1507" t="s">
        <v>16</v>
      </c>
      <c r="I1507" t="s">
        <v>5000</v>
      </c>
      <c r="J1507" t="s">
        <v>5001</v>
      </c>
      <c r="K1507" t="s">
        <v>1809</v>
      </c>
      <c r="L1507" t="str">
        <f>HYPERLINK("https://business-monitor.ch/de/companies/1128786-polozhani-bohr-gmbh?utm_source=oberaargau","PROFIL ANSEHEN")</f>
        <v>PROFIL ANSEHEN</v>
      </c>
    </row>
    <row r="1508" spans="1:12" x14ac:dyDescent="0.2">
      <c r="A1508" t="s">
        <v>6623</v>
      </c>
      <c r="B1508" t="s">
        <v>6624</v>
      </c>
      <c r="C1508" t="s">
        <v>13</v>
      </c>
      <c r="E1508" t="s">
        <v>5495</v>
      </c>
      <c r="F1508">
        <v>4900</v>
      </c>
      <c r="G1508" t="s">
        <v>41</v>
      </c>
      <c r="H1508" t="s">
        <v>16</v>
      </c>
      <c r="I1508" t="s">
        <v>906</v>
      </c>
      <c r="J1508" t="s">
        <v>907</v>
      </c>
      <c r="K1508" t="s">
        <v>1809</v>
      </c>
      <c r="L1508" t="str">
        <f>HYPERLINK("https://business-monitor.ch/de/companies/198345-wohnbaugesellschaft-langeten-ag?utm_source=oberaargau","PROFIL ANSEHEN")</f>
        <v>PROFIL ANSEHEN</v>
      </c>
    </row>
    <row r="1509" spans="1:12" x14ac:dyDescent="0.2">
      <c r="A1509" t="s">
        <v>5816</v>
      </c>
      <c r="B1509" t="s">
        <v>11643</v>
      </c>
      <c r="C1509" t="s">
        <v>1812</v>
      </c>
      <c r="E1509" t="s">
        <v>1796</v>
      </c>
      <c r="F1509">
        <v>3360</v>
      </c>
      <c r="G1509" t="s">
        <v>35</v>
      </c>
      <c r="H1509" t="s">
        <v>16</v>
      </c>
      <c r="I1509" t="s">
        <v>1860</v>
      </c>
      <c r="J1509" t="s">
        <v>1861</v>
      </c>
      <c r="K1509" t="s">
        <v>1809</v>
      </c>
      <c r="L1509" t="str">
        <f>HYPERLINK("https://business-monitor.ch/de/companies/1078869-haarpunzel-by-michaela-von-allmen?utm_source=oberaargau","PROFIL ANSEHEN")</f>
        <v>PROFIL ANSEHEN</v>
      </c>
    </row>
    <row r="1510" spans="1:12" x14ac:dyDescent="0.2">
      <c r="A1510" t="s">
        <v>2268</v>
      </c>
      <c r="B1510" t="s">
        <v>4988</v>
      </c>
      <c r="C1510" t="s">
        <v>202</v>
      </c>
      <c r="E1510" t="s">
        <v>4989</v>
      </c>
      <c r="F1510">
        <v>4922</v>
      </c>
      <c r="G1510" t="s">
        <v>99</v>
      </c>
      <c r="H1510" t="s">
        <v>16</v>
      </c>
      <c r="I1510" t="s">
        <v>679</v>
      </c>
      <c r="J1510" t="s">
        <v>680</v>
      </c>
      <c r="K1510" t="s">
        <v>1809</v>
      </c>
      <c r="L1510" t="str">
        <f>HYPERLINK("https://business-monitor.ch/de/companies/355281-mh-design-schreinerei-gmbh?utm_source=oberaargau","PROFIL ANSEHEN")</f>
        <v>PROFIL ANSEHEN</v>
      </c>
    </row>
    <row r="1511" spans="1:12" x14ac:dyDescent="0.2">
      <c r="A1511" t="s">
        <v>5831</v>
      </c>
      <c r="B1511" t="s">
        <v>5832</v>
      </c>
      <c r="C1511" t="s">
        <v>202</v>
      </c>
      <c r="D1511" t="s">
        <v>5833</v>
      </c>
      <c r="E1511" t="s">
        <v>5834</v>
      </c>
      <c r="F1511">
        <v>4912</v>
      </c>
      <c r="G1511" t="s">
        <v>64</v>
      </c>
      <c r="H1511" t="s">
        <v>16</v>
      </c>
      <c r="I1511" t="s">
        <v>935</v>
      </c>
      <c r="J1511" t="s">
        <v>936</v>
      </c>
      <c r="K1511" t="s">
        <v>1809</v>
      </c>
      <c r="L1511" t="str">
        <f>HYPERLINK("https://business-monitor.ch/de/companies/1078348-munk-gmbh?utm_source=oberaargau","PROFIL ANSEHEN")</f>
        <v>PROFIL ANSEHEN</v>
      </c>
    </row>
    <row r="1512" spans="1:12" x14ac:dyDescent="0.2">
      <c r="A1512" t="s">
        <v>10271</v>
      </c>
      <c r="B1512" t="s">
        <v>10272</v>
      </c>
      <c r="C1512" t="s">
        <v>202</v>
      </c>
      <c r="E1512" t="s">
        <v>10273</v>
      </c>
      <c r="F1512">
        <v>4912</v>
      </c>
      <c r="G1512" t="s">
        <v>64</v>
      </c>
      <c r="H1512" t="s">
        <v>16</v>
      </c>
      <c r="I1512" t="s">
        <v>906</v>
      </c>
      <c r="J1512" t="s">
        <v>907</v>
      </c>
      <c r="K1512" t="s">
        <v>1809</v>
      </c>
      <c r="L1512" t="str">
        <f>HYPERLINK("https://business-monitor.ch/de/companies/586186-roethlimmo-gmbh?utm_source=oberaargau","PROFIL ANSEHEN")</f>
        <v>PROFIL ANSEHEN</v>
      </c>
    </row>
    <row r="1513" spans="1:12" x14ac:dyDescent="0.2">
      <c r="A1513" t="s">
        <v>7231</v>
      </c>
      <c r="B1513" t="s">
        <v>7232</v>
      </c>
      <c r="C1513" t="s">
        <v>1812</v>
      </c>
      <c r="E1513" t="s">
        <v>7233</v>
      </c>
      <c r="F1513">
        <v>4914</v>
      </c>
      <c r="G1513" t="s">
        <v>105</v>
      </c>
      <c r="H1513" t="s">
        <v>16</v>
      </c>
      <c r="I1513" t="s">
        <v>175</v>
      </c>
      <c r="J1513" t="s">
        <v>176</v>
      </c>
      <c r="K1513" t="s">
        <v>1809</v>
      </c>
      <c r="L1513" t="str">
        <f>HYPERLINK("https://business-monitor.ch/de/companies/1028033-vali-s-garage-inh-valmir-shabani?utm_source=oberaargau","PROFIL ANSEHEN")</f>
        <v>PROFIL ANSEHEN</v>
      </c>
    </row>
    <row r="1514" spans="1:12" x14ac:dyDescent="0.2">
      <c r="A1514" t="s">
        <v>5778</v>
      </c>
      <c r="B1514" t="s">
        <v>5779</v>
      </c>
      <c r="C1514" t="s">
        <v>1922</v>
      </c>
      <c r="D1514" t="s">
        <v>5780</v>
      </c>
      <c r="E1514" t="s">
        <v>424</v>
      </c>
      <c r="F1514">
        <v>4900</v>
      </c>
      <c r="G1514" t="s">
        <v>41</v>
      </c>
      <c r="H1514" t="s">
        <v>16</v>
      </c>
      <c r="I1514" t="s">
        <v>906</v>
      </c>
      <c r="J1514" t="s">
        <v>907</v>
      </c>
      <c r="K1514" t="s">
        <v>1809</v>
      </c>
      <c r="L1514" t="str">
        <f>HYPERLINK("https://business-monitor.ch/de/companies/39494-stiftung-fuer-alterswohnungen-in-langenthal?utm_source=oberaargau","PROFIL ANSEHEN")</f>
        <v>PROFIL ANSEHEN</v>
      </c>
    </row>
    <row r="1515" spans="1:12" x14ac:dyDescent="0.2">
      <c r="A1515" t="s">
        <v>12067</v>
      </c>
      <c r="B1515" t="s">
        <v>12068</v>
      </c>
      <c r="C1515" t="s">
        <v>13</v>
      </c>
      <c r="E1515" t="s">
        <v>12069</v>
      </c>
      <c r="F1515">
        <v>4912</v>
      </c>
      <c r="G1515" t="s">
        <v>64</v>
      </c>
      <c r="H1515" t="s">
        <v>16</v>
      </c>
      <c r="I1515" t="s">
        <v>935</v>
      </c>
      <c r="J1515" t="s">
        <v>936</v>
      </c>
      <c r="K1515" t="s">
        <v>1809</v>
      </c>
      <c r="L1515" t="str">
        <f>HYPERLINK("https://business-monitor.ch/de/companies/1181647-mocra-invest-ag?utm_source=oberaargau","PROFIL ANSEHEN")</f>
        <v>PROFIL ANSEHEN</v>
      </c>
    </row>
    <row r="1516" spans="1:12" x14ac:dyDescent="0.2">
      <c r="A1516" t="s">
        <v>1825</v>
      </c>
      <c r="B1516" t="s">
        <v>1826</v>
      </c>
      <c r="C1516" t="s">
        <v>1827</v>
      </c>
      <c r="D1516" t="s">
        <v>1828</v>
      </c>
      <c r="E1516" t="s">
        <v>1829</v>
      </c>
      <c r="F1516">
        <v>4914</v>
      </c>
      <c r="G1516" t="s">
        <v>105</v>
      </c>
      <c r="H1516" t="s">
        <v>16</v>
      </c>
      <c r="I1516" t="s">
        <v>1296</v>
      </c>
      <c r="J1516" t="s">
        <v>1297</v>
      </c>
      <c r="K1516" t="s">
        <v>1809</v>
      </c>
      <c r="L1516" t="str">
        <f>HYPERLINK("https://business-monitor.ch/de/companies/1079545-measure-design-klg?utm_source=oberaargau","PROFIL ANSEHEN")</f>
        <v>PROFIL ANSEHEN</v>
      </c>
    </row>
    <row r="1517" spans="1:12" x14ac:dyDescent="0.2">
      <c r="A1517" t="s">
        <v>8725</v>
      </c>
      <c r="B1517" t="s">
        <v>8726</v>
      </c>
      <c r="C1517" t="s">
        <v>13</v>
      </c>
      <c r="E1517" t="s">
        <v>6152</v>
      </c>
      <c r="F1517">
        <v>4536</v>
      </c>
      <c r="G1517" t="s">
        <v>1395</v>
      </c>
      <c r="H1517" t="s">
        <v>16</v>
      </c>
      <c r="I1517" t="s">
        <v>935</v>
      </c>
      <c r="J1517" t="s">
        <v>936</v>
      </c>
      <c r="K1517" t="s">
        <v>1809</v>
      </c>
      <c r="L1517" t="str">
        <f>HYPERLINK("https://business-monitor.ch/de/companies/389810-eclipse-real-estate-ag?utm_source=oberaargau","PROFIL ANSEHEN")</f>
        <v>PROFIL ANSEHEN</v>
      </c>
    </row>
    <row r="1518" spans="1:12" x14ac:dyDescent="0.2">
      <c r="A1518" t="s">
        <v>9236</v>
      </c>
      <c r="B1518" t="s">
        <v>9237</v>
      </c>
      <c r="C1518" t="s">
        <v>202</v>
      </c>
      <c r="E1518" t="s">
        <v>9238</v>
      </c>
      <c r="F1518">
        <v>4934</v>
      </c>
      <c r="G1518" t="s">
        <v>670</v>
      </c>
      <c r="H1518" t="s">
        <v>16</v>
      </c>
      <c r="I1518" t="s">
        <v>1852</v>
      </c>
      <c r="J1518" t="s">
        <v>1853</v>
      </c>
      <c r="K1518" t="s">
        <v>1809</v>
      </c>
      <c r="L1518" t="str">
        <f>HYPERLINK("https://business-monitor.ch/de/companies/123227-ledermann-gmbh-madiswil?utm_source=oberaargau","PROFIL ANSEHEN")</f>
        <v>PROFIL ANSEHEN</v>
      </c>
    </row>
    <row r="1519" spans="1:12" x14ac:dyDescent="0.2">
      <c r="A1519" t="s">
        <v>11600</v>
      </c>
      <c r="B1519" t="s">
        <v>11601</v>
      </c>
      <c r="C1519" t="s">
        <v>1812</v>
      </c>
      <c r="E1519" t="s">
        <v>1146</v>
      </c>
      <c r="F1519">
        <v>3360</v>
      </c>
      <c r="G1519" t="s">
        <v>35</v>
      </c>
      <c r="H1519" t="s">
        <v>16</v>
      </c>
      <c r="I1519" t="s">
        <v>2226</v>
      </c>
      <c r="J1519" t="s">
        <v>2227</v>
      </c>
      <c r="K1519" t="s">
        <v>1809</v>
      </c>
      <c r="L1519" t="str">
        <f>HYPERLINK("https://business-monitor.ch/de/companies/1140859-physiotherapie-gouranga-stefan-teranski?utm_source=oberaargau","PROFIL ANSEHEN")</f>
        <v>PROFIL ANSEHEN</v>
      </c>
    </row>
    <row r="1520" spans="1:12" x14ac:dyDescent="0.2">
      <c r="A1520" t="s">
        <v>5914</v>
      </c>
      <c r="B1520" t="s">
        <v>5915</v>
      </c>
      <c r="C1520" t="s">
        <v>1922</v>
      </c>
      <c r="E1520" t="s">
        <v>1787</v>
      </c>
      <c r="F1520">
        <v>4900</v>
      </c>
      <c r="G1520" t="s">
        <v>41</v>
      </c>
      <c r="H1520" t="s">
        <v>16</v>
      </c>
      <c r="I1520" t="s">
        <v>2912</v>
      </c>
      <c r="J1520" t="s">
        <v>2913</v>
      </c>
      <c r="K1520" t="s">
        <v>1809</v>
      </c>
      <c r="L1520" t="str">
        <f>HYPERLINK("https://business-monitor.ch/de/companies/489923-stiftung-angels-in-action?utm_source=oberaargau","PROFIL ANSEHEN")</f>
        <v>PROFIL ANSEHEN</v>
      </c>
    </row>
    <row r="1521" spans="1:12" x14ac:dyDescent="0.2">
      <c r="A1521" t="s">
        <v>3115</v>
      </c>
      <c r="B1521" t="s">
        <v>3116</v>
      </c>
      <c r="C1521" t="s">
        <v>1922</v>
      </c>
      <c r="D1521" t="s">
        <v>3117</v>
      </c>
      <c r="E1521" t="s">
        <v>3118</v>
      </c>
      <c r="F1521">
        <v>3373</v>
      </c>
      <c r="G1521" t="s">
        <v>2697</v>
      </c>
      <c r="H1521" t="s">
        <v>16</v>
      </c>
      <c r="I1521" t="s">
        <v>3119</v>
      </c>
      <c r="J1521" t="s">
        <v>3120</v>
      </c>
      <c r="K1521" t="s">
        <v>1809</v>
      </c>
      <c r="L1521" t="str">
        <f>HYPERLINK("https://business-monitor.ch/de/companies/322878-stiftung-burgergut-heimenhausen?utm_source=oberaargau","PROFIL ANSEHEN")</f>
        <v>PROFIL ANSEHEN</v>
      </c>
    </row>
    <row r="1522" spans="1:12" x14ac:dyDescent="0.2">
      <c r="A1522" t="s">
        <v>8077</v>
      </c>
      <c r="B1522" t="s">
        <v>8078</v>
      </c>
      <c r="C1522" t="s">
        <v>202</v>
      </c>
      <c r="E1522" t="s">
        <v>12210</v>
      </c>
      <c r="F1522">
        <v>3360</v>
      </c>
      <c r="G1522" t="s">
        <v>35</v>
      </c>
      <c r="H1522" t="s">
        <v>16</v>
      </c>
      <c r="I1522" t="s">
        <v>662</v>
      </c>
      <c r="J1522" t="s">
        <v>663</v>
      </c>
      <c r="K1522" t="s">
        <v>1809</v>
      </c>
      <c r="L1522" t="str">
        <f>HYPERLINK("https://business-monitor.ch/de/companies/1080363-dachfit-gmbh?utm_source=oberaargau","PROFIL ANSEHEN")</f>
        <v>PROFIL ANSEHEN</v>
      </c>
    </row>
    <row r="1523" spans="1:12" x14ac:dyDescent="0.2">
      <c r="A1523" t="s">
        <v>11966</v>
      </c>
      <c r="B1523" t="s">
        <v>11967</v>
      </c>
      <c r="C1523" t="s">
        <v>202</v>
      </c>
      <c r="E1523" t="s">
        <v>11968</v>
      </c>
      <c r="F1523">
        <v>3380</v>
      </c>
      <c r="G1523" t="s">
        <v>29</v>
      </c>
      <c r="H1523" t="s">
        <v>16</v>
      </c>
      <c r="I1523" t="s">
        <v>733</v>
      </c>
      <c r="J1523" t="s">
        <v>734</v>
      </c>
      <c r="K1523" t="s">
        <v>1809</v>
      </c>
      <c r="L1523" t="str">
        <f>HYPERLINK("https://business-monitor.ch/de/companies/1163786-tr-service-handel-gmbh?utm_source=oberaargau","PROFIL ANSEHEN")</f>
        <v>PROFIL ANSEHEN</v>
      </c>
    </row>
    <row r="1524" spans="1:12" x14ac:dyDescent="0.2">
      <c r="A1524" t="s">
        <v>7679</v>
      </c>
      <c r="B1524" t="s">
        <v>7680</v>
      </c>
      <c r="C1524" t="s">
        <v>1812</v>
      </c>
      <c r="E1524" t="s">
        <v>1893</v>
      </c>
      <c r="F1524">
        <v>4914</v>
      </c>
      <c r="G1524" t="s">
        <v>105</v>
      </c>
      <c r="H1524" t="s">
        <v>16</v>
      </c>
      <c r="I1524" t="s">
        <v>331</v>
      </c>
      <c r="J1524" t="s">
        <v>332</v>
      </c>
      <c r="K1524" t="s">
        <v>1809</v>
      </c>
      <c r="L1524" t="str">
        <f>HYPERLINK("https://business-monitor.ch/de/companies/618617-atelier-john-candlish?utm_source=oberaargau","PROFIL ANSEHEN")</f>
        <v>PROFIL ANSEHEN</v>
      </c>
    </row>
    <row r="1525" spans="1:12" x14ac:dyDescent="0.2">
      <c r="A1525" t="s">
        <v>8314</v>
      </c>
      <c r="B1525" t="s">
        <v>8315</v>
      </c>
      <c r="C1525" t="s">
        <v>1812</v>
      </c>
      <c r="E1525" t="s">
        <v>8316</v>
      </c>
      <c r="F1525">
        <v>4938</v>
      </c>
      <c r="G1525" t="s">
        <v>618</v>
      </c>
      <c r="H1525" t="s">
        <v>16</v>
      </c>
      <c r="I1525" t="s">
        <v>1818</v>
      </c>
      <c r="J1525" t="s">
        <v>1819</v>
      </c>
      <c r="K1525" t="s">
        <v>1809</v>
      </c>
      <c r="L1525" t="str">
        <f>HYPERLINK("https://business-monitor.ch/de/companies/416518-mauro-faenzi-unabhaengige-versicherung-und-finanzplanung?utm_source=oberaargau","PROFIL ANSEHEN")</f>
        <v>PROFIL ANSEHEN</v>
      </c>
    </row>
    <row r="1526" spans="1:12" x14ac:dyDescent="0.2">
      <c r="A1526" t="s">
        <v>12264</v>
      </c>
      <c r="B1526" t="s">
        <v>12265</v>
      </c>
      <c r="C1526" t="s">
        <v>1812</v>
      </c>
      <c r="E1526" t="s">
        <v>12266</v>
      </c>
      <c r="F1526">
        <v>4912</v>
      </c>
      <c r="G1526" t="s">
        <v>64</v>
      </c>
      <c r="H1526" t="s">
        <v>16</v>
      </c>
      <c r="I1526" t="s">
        <v>153</v>
      </c>
      <c r="J1526" t="s">
        <v>154</v>
      </c>
      <c r="K1526" t="s">
        <v>1809</v>
      </c>
      <c r="L1526" t="str">
        <f>HYPERLINK("https://business-monitor.ch/de/companies/1190958-pluess-werner-beratung-in-der-dichtungstechnik?utm_source=oberaargau","PROFIL ANSEHEN")</f>
        <v>PROFIL ANSEHEN</v>
      </c>
    </row>
    <row r="1527" spans="1:12" x14ac:dyDescent="0.2">
      <c r="A1527" t="s">
        <v>6237</v>
      </c>
      <c r="B1527" t="s">
        <v>6238</v>
      </c>
      <c r="C1527" t="s">
        <v>13</v>
      </c>
      <c r="D1527" t="s">
        <v>2979</v>
      </c>
      <c r="E1527" t="s">
        <v>2980</v>
      </c>
      <c r="F1527">
        <v>4932</v>
      </c>
      <c r="G1527" t="s">
        <v>325</v>
      </c>
      <c r="H1527" t="s">
        <v>16</v>
      </c>
      <c r="I1527" t="s">
        <v>182</v>
      </c>
      <c r="J1527" t="s">
        <v>183</v>
      </c>
      <c r="K1527" t="s">
        <v>1809</v>
      </c>
      <c r="L1527" t="str">
        <f>HYPERLINK("https://business-monitor.ch/de/companies/357309-thomi-holding-ag?utm_source=oberaargau","PROFIL ANSEHEN")</f>
        <v>PROFIL ANSEHEN</v>
      </c>
    </row>
    <row r="1528" spans="1:12" x14ac:dyDescent="0.2">
      <c r="A1528" t="s">
        <v>2472</v>
      </c>
      <c r="B1528" t="s">
        <v>2473</v>
      </c>
      <c r="C1528" t="s">
        <v>202</v>
      </c>
      <c r="E1528" t="s">
        <v>2474</v>
      </c>
      <c r="F1528">
        <v>3475</v>
      </c>
      <c r="G1528" t="s">
        <v>965</v>
      </c>
      <c r="H1528" t="s">
        <v>16</v>
      </c>
      <c r="I1528" t="s">
        <v>551</v>
      </c>
      <c r="J1528" t="s">
        <v>552</v>
      </c>
      <c r="K1528" t="s">
        <v>1809</v>
      </c>
      <c r="L1528" t="str">
        <f>HYPERLINK("https://business-monitor.ch/de/companies/1081294-zube-gmbh?utm_source=oberaargau","PROFIL ANSEHEN")</f>
        <v>PROFIL ANSEHEN</v>
      </c>
    </row>
    <row r="1529" spans="1:12" x14ac:dyDescent="0.2">
      <c r="A1529" t="s">
        <v>10022</v>
      </c>
      <c r="B1529" t="s">
        <v>10023</v>
      </c>
      <c r="C1529" t="s">
        <v>202</v>
      </c>
      <c r="E1529" t="s">
        <v>10024</v>
      </c>
      <c r="F1529">
        <v>4934</v>
      </c>
      <c r="G1529" t="s">
        <v>670</v>
      </c>
      <c r="H1529" t="s">
        <v>16</v>
      </c>
      <c r="I1529" t="s">
        <v>2900</v>
      </c>
      <c r="J1529" t="s">
        <v>2901</v>
      </c>
      <c r="K1529" t="s">
        <v>1809</v>
      </c>
      <c r="L1529" t="str">
        <f>HYPERLINK("https://business-monitor.ch/de/companies/702990-fahrschule-meyer-gmbh?utm_source=oberaargau","PROFIL ANSEHEN")</f>
        <v>PROFIL ANSEHEN</v>
      </c>
    </row>
    <row r="1530" spans="1:12" x14ac:dyDescent="0.2">
      <c r="A1530" t="s">
        <v>7531</v>
      </c>
      <c r="B1530" t="s">
        <v>7532</v>
      </c>
      <c r="C1530" t="s">
        <v>202</v>
      </c>
      <c r="E1530" t="s">
        <v>7533</v>
      </c>
      <c r="F1530">
        <v>4923</v>
      </c>
      <c r="G1530" t="s">
        <v>732</v>
      </c>
      <c r="H1530" t="s">
        <v>16</v>
      </c>
      <c r="I1530" t="s">
        <v>1350</v>
      </c>
      <c r="J1530" t="s">
        <v>1351</v>
      </c>
      <c r="K1530" t="s">
        <v>1809</v>
      </c>
      <c r="L1530" t="str">
        <f>HYPERLINK("https://business-monitor.ch/de/companies/703553-ingold-traxspezialist-tiefbau-gmbh?utm_source=oberaargau","PROFIL ANSEHEN")</f>
        <v>PROFIL ANSEHEN</v>
      </c>
    </row>
    <row r="1531" spans="1:12" x14ac:dyDescent="0.2">
      <c r="A1531" t="s">
        <v>7539</v>
      </c>
      <c r="B1531" t="s">
        <v>7540</v>
      </c>
      <c r="C1531" t="s">
        <v>202</v>
      </c>
      <c r="D1531" t="s">
        <v>13342</v>
      </c>
      <c r="E1531" t="s">
        <v>11971</v>
      </c>
      <c r="F1531">
        <v>4900</v>
      </c>
      <c r="G1531" t="s">
        <v>41</v>
      </c>
      <c r="H1531" t="s">
        <v>16</v>
      </c>
      <c r="I1531" t="s">
        <v>464</v>
      </c>
      <c r="J1531" t="s">
        <v>465</v>
      </c>
      <c r="K1531" t="s">
        <v>1809</v>
      </c>
      <c r="L1531" t="str">
        <f>HYPERLINK("https://business-monitor.ch/de/companies/703108-ltm-gmbh?utm_source=oberaargau","PROFIL ANSEHEN")</f>
        <v>PROFIL ANSEHEN</v>
      </c>
    </row>
    <row r="1532" spans="1:12" x14ac:dyDescent="0.2">
      <c r="A1532" t="s">
        <v>8371</v>
      </c>
      <c r="B1532" t="s">
        <v>14470</v>
      </c>
      <c r="C1532" t="s">
        <v>1812</v>
      </c>
      <c r="E1532" t="s">
        <v>1980</v>
      </c>
      <c r="F1532">
        <v>4900</v>
      </c>
      <c r="G1532" t="s">
        <v>41</v>
      </c>
      <c r="H1532" t="s">
        <v>16</v>
      </c>
      <c r="I1532" t="s">
        <v>2517</v>
      </c>
      <c r="J1532" t="s">
        <v>2518</v>
      </c>
      <c r="K1532" t="s">
        <v>1809</v>
      </c>
      <c r="L1532" t="str">
        <f>HYPERLINK("https://business-monitor.ch/de/companies/132782-winistoerfer?utm_source=oberaargau","PROFIL ANSEHEN")</f>
        <v>PROFIL ANSEHEN</v>
      </c>
    </row>
    <row r="1533" spans="1:12" x14ac:dyDescent="0.2">
      <c r="A1533" t="s">
        <v>5698</v>
      </c>
      <c r="B1533" t="s">
        <v>13591</v>
      </c>
      <c r="C1533" t="s">
        <v>13</v>
      </c>
      <c r="D1533" t="s">
        <v>13592</v>
      </c>
      <c r="E1533" t="s">
        <v>6427</v>
      </c>
      <c r="F1533">
        <v>4912</v>
      </c>
      <c r="G1533" t="s">
        <v>64</v>
      </c>
      <c r="H1533" t="s">
        <v>16</v>
      </c>
      <c r="I1533" t="s">
        <v>1470</v>
      </c>
      <c r="J1533" t="s">
        <v>1471</v>
      </c>
      <c r="K1533" t="s">
        <v>1809</v>
      </c>
      <c r="L1533" t="str">
        <f>HYPERLINK("https://business-monitor.ch/de/companies/136971-a-gabi-ag?utm_source=oberaargau","PROFIL ANSEHEN")</f>
        <v>PROFIL ANSEHEN</v>
      </c>
    </row>
    <row r="1534" spans="1:12" x14ac:dyDescent="0.2">
      <c r="A1534" t="s">
        <v>6958</v>
      </c>
      <c r="B1534" t="s">
        <v>6959</v>
      </c>
      <c r="C1534" t="s">
        <v>202</v>
      </c>
      <c r="E1534" t="s">
        <v>6960</v>
      </c>
      <c r="F1534">
        <v>4950</v>
      </c>
      <c r="G1534" t="s">
        <v>15</v>
      </c>
      <c r="H1534" t="s">
        <v>16</v>
      </c>
      <c r="I1534" t="s">
        <v>260</v>
      </c>
      <c r="J1534" t="s">
        <v>261</v>
      </c>
      <c r="K1534" t="s">
        <v>1809</v>
      </c>
      <c r="L1534" t="str">
        <f>HYPERLINK("https://business-monitor.ch/de/companies/143536-schaerer-architekten-gmbh?utm_source=oberaargau","PROFIL ANSEHEN")</f>
        <v>PROFIL ANSEHEN</v>
      </c>
    </row>
    <row r="1535" spans="1:12" x14ac:dyDescent="0.2">
      <c r="A1535" t="s">
        <v>7633</v>
      </c>
      <c r="B1535" t="s">
        <v>7634</v>
      </c>
      <c r="C1535" t="s">
        <v>202</v>
      </c>
      <c r="E1535" t="s">
        <v>7635</v>
      </c>
      <c r="F1535">
        <v>4704</v>
      </c>
      <c r="G1535" t="s">
        <v>221</v>
      </c>
      <c r="H1535" t="s">
        <v>16</v>
      </c>
      <c r="I1535" t="s">
        <v>551</v>
      </c>
      <c r="J1535" t="s">
        <v>552</v>
      </c>
      <c r="K1535" t="s">
        <v>1809</v>
      </c>
      <c r="L1535" t="str">
        <f>HYPERLINK("https://business-monitor.ch/de/companies/655113-ruetti-industriedienstleistungen-gmbh?utm_source=oberaargau","PROFIL ANSEHEN")</f>
        <v>PROFIL ANSEHEN</v>
      </c>
    </row>
    <row r="1536" spans="1:12" x14ac:dyDescent="0.2">
      <c r="A1536" t="s">
        <v>5426</v>
      </c>
      <c r="B1536" t="s">
        <v>5427</v>
      </c>
      <c r="C1536" t="s">
        <v>13</v>
      </c>
      <c r="D1536" t="s">
        <v>5428</v>
      </c>
      <c r="E1536" t="s">
        <v>776</v>
      </c>
      <c r="F1536">
        <v>4914</v>
      </c>
      <c r="G1536" t="s">
        <v>105</v>
      </c>
      <c r="H1536" t="s">
        <v>16</v>
      </c>
      <c r="I1536" t="s">
        <v>186</v>
      </c>
      <c r="J1536" t="s">
        <v>187</v>
      </c>
      <c r="K1536" t="s">
        <v>1809</v>
      </c>
      <c r="L1536" t="str">
        <f>HYPERLINK("https://business-monitor.ch/de/companies/238251-gruetter-holding-ag?utm_source=oberaargau","PROFIL ANSEHEN")</f>
        <v>PROFIL ANSEHEN</v>
      </c>
    </row>
    <row r="1537" spans="1:12" x14ac:dyDescent="0.2">
      <c r="A1537" t="s">
        <v>10134</v>
      </c>
      <c r="B1537" t="s">
        <v>10135</v>
      </c>
      <c r="C1537" t="s">
        <v>202</v>
      </c>
      <c r="E1537" t="s">
        <v>10136</v>
      </c>
      <c r="F1537">
        <v>4936</v>
      </c>
      <c r="G1537" t="s">
        <v>768</v>
      </c>
      <c r="H1537" t="s">
        <v>16</v>
      </c>
      <c r="I1537" t="s">
        <v>524</v>
      </c>
      <c r="J1537" t="s">
        <v>525</v>
      </c>
      <c r="K1537" t="s">
        <v>1809</v>
      </c>
      <c r="L1537" t="str">
        <f>HYPERLINK("https://business-monitor.ch/de/companies/655827-kurt-kaeser-gmbh?utm_source=oberaargau","PROFIL ANSEHEN")</f>
        <v>PROFIL ANSEHEN</v>
      </c>
    </row>
    <row r="1538" spans="1:12" x14ac:dyDescent="0.2">
      <c r="A1538" t="s">
        <v>5846</v>
      </c>
      <c r="B1538" t="s">
        <v>5847</v>
      </c>
      <c r="C1538" t="s">
        <v>202</v>
      </c>
      <c r="E1538" t="s">
        <v>5205</v>
      </c>
      <c r="F1538">
        <v>4900</v>
      </c>
      <c r="G1538" t="s">
        <v>41</v>
      </c>
      <c r="H1538" t="s">
        <v>16</v>
      </c>
      <c r="I1538" t="s">
        <v>86</v>
      </c>
      <c r="J1538" t="s">
        <v>87</v>
      </c>
      <c r="K1538" t="s">
        <v>1809</v>
      </c>
      <c r="L1538" t="str">
        <f>HYPERLINK("https://business-monitor.ch/de/companies/513438-koi-klinik-langenthal-gmbh?utm_source=oberaargau","PROFIL ANSEHEN")</f>
        <v>PROFIL ANSEHEN</v>
      </c>
    </row>
    <row r="1539" spans="1:12" x14ac:dyDescent="0.2">
      <c r="A1539" t="s">
        <v>2539</v>
      </c>
      <c r="B1539" t="s">
        <v>2540</v>
      </c>
      <c r="C1539" t="s">
        <v>13</v>
      </c>
      <c r="E1539" t="s">
        <v>2541</v>
      </c>
      <c r="F1539">
        <v>4704</v>
      </c>
      <c r="G1539" t="s">
        <v>221</v>
      </c>
      <c r="H1539" t="s">
        <v>16</v>
      </c>
      <c r="I1539" t="s">
        <v>1171</v>
      </c>
      <c r="J1539" t="s">
        <v>1172</v>
      </c>
      <c r="K1539" t="s">
        <v>1809</v>
      </c>
      <c r="L1539" t="str">
        <f>HYPERLINK("https://business-monitor.ch/de/companies/656205-mywork-ag-niederbipp?utm_source=oberaargau","PROFIL ANSEHEN")</f>
        <v>PROFIL ANSEHEN</v>
      </c>
    </row>
    <row r="1540" spans="1:12" x14ac:dyDescent="0.2">
      <c r="A1540" t="s">
        <v>3112</v>
      </c>
      <c r="B1540" t="s">
        <v>3113</v>
      </c>
      <c r="C1540" t="s">
        <v>13</v>
      </c>
      <c r="E1540" t="s">
        <v>419</v>
      </c>
      <c r="F1540">
        <v>4913</v>
      </c>
      <c r="G1540" t="s">
        <v>207</v>
      </c>
      <c r="H1540" t="s">
        <v>16</v>
      </c>
      <c r="I1540" t="s">
        <v>4534</v>
      </c>
      <c r="J1540" t="s">
        <v>4535</v>
      </c>
      <c r="K1540" t="s">
        <v>1809</v>
      </c>
      <c r="L1540" t="str">
        <f>HYPERLINK("https://business-monitor.ch/de/companies/322880-juerg-siegrist-ag?utm_source=oberaargau","PROFIL ANSEHEN")</f>
        <v>PROFIL ANSEHEN</v>
      </c>
    </row>
    <row r="1541" spans="1:12" x14ac:dyDescent="0.2">
      <c r="A1541" t="s">
        <v>6360</v>
      </c>
      <c r="B1541" t="s">
        <v>6361</v>
      </c>
      <c r="C1541" t="s">
        <v>202</v>
      </c>
      <c r="E1541" t="s">
        <v>4158</v>
      </c>
      <c r="F1541">
        <v>3362</v>
      </c>
      <c r="G1541" t="s">
        <v>47</v>
      </c>
      <c r="H1541" t="s">
        <v>16</v>
      </c>
      <c r="I1541" t="s">
        <v>570</v>
      </c>
      <c r="J1541" t="s">
        <v>571</v>
      </c>
      <c r="K1541" t="s">
        <v>1809</v>
      </c>
      <c r="L1541" t="str">
        <f>HYPERLINK("https://business-monitor.ch/de/companies/405222-norfi-service-gmbh?utm_source=oberaargau","PROFIL ANSEHEN")</f>
        <v>PROFIL ANSEHEN</v>
      </c>
    </row>
    <row r="1542" spans="1:12" x14ac:dyDescent="0.2">
      <c r="A1542" t="s">
        <v>8895</v>
      </c>
      <c r="B1542" t="s">
        <v>8896</v>
      </c>
      <c r="C1542" t="s">
        <v>202</v>
      </c>
      <c r="E1542" t="s">
        <v>5904</v>
      </c>
      <c r="F1542">
        <v>4913</v>
      </c>
      <c r="G1542" t="s">
        <v>207</v>
      </c>
      <c r="H1542" t="s">
        <v>16</v>
      </c>
      <c r="I1542" t="s">
        <v>935</v>
      </c>
      <c r="J1542" t="s">
        <v>936</v>
      </c>
      <c r="K1542" t="s">
        <v>1809</v>
      </c>
      <c r="L1542" t="str">
        <f>HYPERLINK("https://business-monitor.ch/de/companies/296124-kb-immobilien-gmbh?utm_source=oberaargau","PROFIL ANSEHEN")</f>
        <v>PROFIL ANSEHEN</v>
      </c>
    </row>
    <row r="1543" spans="1:12" x14ac:dyDescent="0.2">
      <c r="A1543" t="s">
        <v>5418</v>
      </c>
      <c r="B1543" t="s">
        <v>5419</v>
      </c>
      <c r="C1543" t="s">
        <v>1812</v>
      </c>
      <c r="E1543" t="s">
        <v>5420</v>
      </c>
      <c r="F1543">
        <v>3380</v>
      </c>
      <c r="G1543" t="s">
        <v>29</v>
      </c>
      <c r="H1543" t="s">
        <v>16</v>
      </c>
      <c r="I1543" t="s">
        <v>5421</v>
      </c>
      <c r="J1543" t="s">
        <v>5422</v>
      </c>
      <c r="K1543" t="s">
        <v>1809</v>
      </c>
      <c r="L1543" t="str">
        <f>HYPERLINK("https://business-monitor.ch/de/companies/239464-pocon-teach-trade-rainer-fritzius?utm_source=oberaargau","PROFIL ANSEHEN")</f>
        <v>PROFIL ANSEHEN</v>
      </c>
    </row>
    <row r="1544" spans="1:12" x14ac:dyDescent="0.2">
      <c r="A1544" t="s">
        <v>3152</v>
      </c>
      <c r="B1544" t="s">
        <v>3153</v>
      </c>
      <c r="C1544" t="s">
        <v>202</v>
      </c>
      <c r="E1544" t="s">
        <v>390</v>
      </c>
      <c r="F1544">
        <v>4950</v>
      </c>
      <c r="G1544" t="s">
        <v>15</v>
      </c>
      <c r="H1544" t="s">
        <v>16</v>
      </c>
      <c r="I1544" t="s">
        <v>48</v>
      </c>
      <c r="J1544" t="s">
        <v>49</v>
      </c>
      <c r="K1544" t="s">
        <v>1809</v>
      </c>
      <c r="L1544" t="str">
        <f>HYPERLINK("https://business-monitor.ch/de/companies/309564-ac-flex-gmbh?utm_source=oberaargau","PROFIL ANSEHEN")</f>
        <v>PROFIL ANSEHEN</v>
      </c>
    </row>
    <row r="1545" spans="1:12" x14ac:dyDescent="0.2">
      <c r="A1545" t="s">
        <v>9862</v>
      </c>
      <c r="B1545" t="s">
        <v>9863</v>
      </c>
      <c r="C1545" t="s">
        <v>13</v>
      </c>
      <c r="D1545" t="s">
        <v>1349</v>
      </c>
      <c r="E1545" t="s">
        <v>756</v>
      </c>
      <c r="F1545">
        <v>3360</v>
      </c>
      <c r="G1545" t="s">
        <v>35</v>
      </c>
      <c r="H1545" t="s">
        <v>16</v>
      </c>
      <c r="I1545" t="s">
        <v>182</v>
      </c>
      <c r="J1545" t="s">
        <v>183</v>
      </c>
      <c r="K1545" t="s">
        <v>1809</v>
      </c>
      <c r="L1545" t="str">
        <f>HYPERLINK("https://business-monitor.ch/de/companies/986668-leubau-group-ag?utm_source=oberaargau","PROFIL ANSEHEN")</f>
        <v>PROFIL ANSEHEN</v>
      </c>
    </row>
    <row r="1546" spans="1:12" x14ac:dyDescent="0.2">
      <c r="A1546" t="s">
        <v>9190</v>
      </c>
      <c r="B1546" t="s">
        <v>9191</v>
      </c>
      <c r="C1546" t="s">
        <v>13</v>
      </c>
      <c r="E1546" t="s">
        <v>9192</v>
      </c>
      <c r="F1546">
        <v>4900</v>
      </c>
      <c r="G1546" t="s">
        <v>41</v>
      </c>
      <c r="H1546" t="s">
        <v>16</v>
      </c>
      <c r="I1546" t="s">
        <v>1324</v>
      </c>
      <c r="J1546" t="s">
        <v>1325</v>
      </c>
      <c r="K1546" t="s">
        <v>1809</v>
      </c>
      <c r="L1546" t="str">
        <f>HYPERLINK("https://business-monitor.ch/de/companies/153823-fest-fenster-storen-ag?utm_source=oberaargau","PROFIL ANSEHEN")</f>
        <v>PROFIL ANSEHEN</v>
      </c>
    </row>
    <row r="1547" spans="1:12" x14ac:dyDescent="0.2">
      <c r="A1547" t="s">
        <v>7903</v>
      </c>
      <c r="B1547" t="s">
        <v>7904</v>
      </c>
      <c r="C1547" t="s">
        <v>1812</v>
      </c>
      <c r="E1547" t="s">
        <v>7905</v>
      </c>
      <c r="F1547">
        <v>4912</v>
      </c>
      <c r="G1547" t="s">
        <v>64</v>
      </c>
      <c r="H1547" t="s">
        <v>16</v>
      </c>
      <c r="I1547" t="s">
        <v>613</v>
      </c>
      <c r="J1547" t="s">
        <v>614</v>
      </c>
      <c r="K1547" t="s">
        <v>1809</v>
      </c>
      <c r="L1547" t="str">
        <f>HYPERLINK("https://business-monitor.ch/de/companies/171445-markus-lehmann?utm_source=oberaargau","PROFIL ANSEHEN")</f>
        <v>PROFIL ANSEHEN</v>
      </c>
    </row>
    <row r="1548" spans="1:12" x14ac:dyDescent="0.2">
      <c r="A1548" t="s">
        <v>10414</v>
      </c>
      <c r="B1548" t="s">
        <v>10415</v>
      </c>
      <c r="C1548" t="s">
        <v>13</v>
      </c>
      <c r="E1548" t="s">
        <v>10416</v>
      </c>
      <c r="F1548">
        <v>3360</v>
      </c>
      <c r="G1548" t="s">
        <v>35</v>
      </c>
      <c r="H1548" t="s">
        <v>16</v>
      </c>
      <c r="I1548" t="s">
        <v>679</v>
      </c>
      <c r="J1548" t="s">
        <v>680</v>
      </c>
      <c r="K1548" t="s">
        <v>1809</v>
      </c>
      <c r="L1548" t="str">
        <f>HYPERLINK("https://business-monitor.ch/de/companies/207577-schreinerei-glutz-ag?utm_source=oberaargau","PROFIL ANSEHEN")</f>
        <v>PROFIL ANSEHEN</v>
      </c>
    </row>
    <row r="1549" spans="1:12" x14ac:dyDescent="0.2">
      <c r="A1549" t="s">
        <v>4645</v>
      </c>
      <c r="B1549" t="s">
        <v>4646</v>
      </c>
      <c r="C1549" t="s">
        <v>13</v>
      </c>
      <c r="E1549" t="s">
        <v>4647</v>
      </c>
      <c r="F1549">
        <v>4900</v>
      </c>
      <c r="G1549" t="s">
        <v>41</v>
      </c>
      <c r="H1549" t="s">
        <v>16</v>
      </c>
      <c r="I1549" t="s">
        <v>3344</v>
      </c>
      <c r="J1549" t="s">
        <v>3345</v>
      </c>
      <c r="K1549" t="s">
        <v>1809</v>
      </c>
      <c r="L1549" t="str">
        <f>HYPERLINK("https://business-monitor.ch/de/companies/620901-spitex-oberaargau-ag?utm_source=oberaargau","PROFIL ANSEHEN")</f>
        <v>PROFIL ANSEHEN</v>
      </c>
    </row>
    <row r="1550" spans="1:12" x14ac:dyDescent="0.2">
      <c r="A1550" t="s">
        <v>4784</v>
      </c>
      <c r="B1550" t="s">
        <v>4785</v>
      </c>
      <c r="C1550" t="s">
        <v>1812</v>
      </c>
      <c r="E1550" t="s">
        <v>2089</v>
      </c>
      <c r="F1550">
        <v>4950</v>
      </c>
      <c r="G1550" t="s">
        <v>15</v>
      </c>
      <c r="H1550" t="s">
        <v>16</v>
      </c>
      <c r="I1550" t="s">
        <v>624</v>
      </c>
      <c r="J1550" t="s">
        <v>625</v>
      </c>
      <c r="K1550" t="s">
        <v>1809</v>
      </c>
      <c r="L1550" t="str">
        <f>HYPERLINK("https://business-monitor.ch/de/companies/563356-dk-holzbau-darius-karciauskas?utm_source=oberaargau","PROFIL ANSEHEN")</f>
        <v>PROFIL ANSEHEN</v>
      </c>
    </row>
    <row r="1551" spans="1:12" x14ac:dyDescent="0.2">
      <c r="A1551" t="s">
        <v>10867</v>
      </c>
      <c r="B1551" t="s">
        <v>10868</v>
      </c>
      <c r="C1551" t="s">
        <v>202</v>
      </c>
      <c r="E1551" t="s">
        <v>10869</v>
      </c>
      <c r="F1551">
        <v>4914</v>
      </c>
      <c r="G1551" t="s">
        <v>105</v>
      </c>
      <c r="H1551" t="s">
        <v>16</v>
      </c>
      <c r="I1551" t="s">
        <v>4582</v>
      </c>
      <c r="J1551" t="s">
        <v>4583</v>
      </c>
      <c r="K1551" t="s">
        <v>1809</v>
      </c>
      <c r="L1551" t="str">
        <f>HYPERLINK("https://business-monitor.ch/de/companies/1101054-gyger-spezialholzerei-gmbh?utm_source=oberaargau","PROFIL ANSEHEN")</f>
        <v>PROFIL ANSEHEN</v>
      </c>
    </row>
    <row r="1552" spans="1:12" x14ac:dyDescent="0.2">
      <c r="A1552" t="s">
        <v>5496</v>
      </c>
      <c r="B1552" t="s">
        <v>5497</v>
      </c>
      <c r="C1552" t="s">
        <v>1812</v>
      </c>
      <c r="E1552" t="s">
        <v>5498</v>
      </c>
      <c r="F1552">
        <v>4922</v>
      </c>
      <c r="G1552" t="s">
        <v>99</v>
      </c>
      <c r="H1552" t="s">
        <v>16</v>
      </c>
      <c r="I1552" t="s">
        <v>2433</v>
      </c>
      <c r="J1552" t="s">
        <v>2434</v>
      </c>
      <c r="K1552" t="s">
        <v>1809</v>
      </c>
      <c r="L1552" t="str">
        <f>HYPERLINK("https://business-monitor.ch/de/companies/145475-kaeppeli-medizintechnik?utm_source=oberaargau","PROFIL ANSEHEN")</f>
        <v>PROFIL ANSEHEN</v>
      </c>
    </row>
    <row r="1553" spans="1:12" x14ac:dyDescent="0.2">
      <c r="A1553" t="s">
        <v>4430</v>
      </c>
      <c r="B1553" t="s">
        <v>4431</v>
      </c>
      <c r="C1553" t="s">
        <v>5439</v>
      </c>
      <c r="E1553" t="s">
        <v>4432</v>
      </c>
      <c r="F1553">
        <v>4938</v>
      </c>
      <c r="G1553" t="s">
        <v>618</v>
      </c>
      <c r="H1553" t="s">
        <v>16</v>
      </c>
      <c r="I1553" t="s">
        <v>748</v>
      </c>
      <c r="J1553" t="s">
        <v>749</v>
      </c>
      <c r="K1553" t="s">
        <v>1809</v>
      </c>
      <c r="L1553" t="str">
        <f>HYPERLINK("https://business-monitor.ch/de/companies/931002-swiss-renovation-ltd-stockport-uk-zweigniederlassung-rohrbach?utm_source=oberaargau","PROFIL ANSEHEN")</f>
        <v>PROFIL ANSEHEN</v>
      </c>
    </row>
    <row r="1554" spans="1:12" x14ac:dyDescent="0.2">
      <c r="A1554" t="s">
        <v>11508</v>
      </c>
      <c r="B1554" t="s">
        <v>11509</v>
      </c>
      <c r="C1554" t="s">
        <v>202</v>
      </c>
      <c r="E1554" t="s">
        <v>3750</v>
      </c>
      <c r="F1554">
        <v>3363</v>
      </c>
      <c r="G1554" t="s">
        <v>1367</v>
      </c>
      <c r="H1554" t="s">
        <v>16</v>
      </c>
      <c r="I1554" t="s">
        <v>11510</v>
      </c>
      <c r="J1554" t="s">
        <v>11511</v>
      </c>
      <c r="K1554" t="s">
        <v>1809</v>
      </c>
      <c r="L1554" t="str">
        <f>HYPERLINK("https://business-monitor.ch/de/companies/1145321-towbros-gmbh?utm_source=oberaargau","PROFIL ANSEHEN")</f>
        <v>PROFIL ANSEHEN</v>
      </c>
    </row>
    <row r="1555" spans="1:12" x14ac:dyDescent="0.2">
      <c r="A1555" t="s">
        <v>11451</v>
      </c>
      <c r="B1555" t="s">
        <v>11452</v>
      </c>
      <c r="C1555" t="s">
        <v>1812</v>
      </c>
      <c r="E1555" t="s">
        <v>11453</v>
      </c>
      <c r="F1555">
        <v>3360</v>
      </c>
      <c r="G1555" t="s">
        <v>35</v>
      </c>
      <c r="H1555" t="s">
        <v>16</v>
      </c>
      <c r="I1555" t="s">
        <v>1485</v>
      </c>
      <c r="J1555" t="s">
        <v>1486</v>
      </c>
      <c r="K1555" t="s">
        <v>1809</v>
      </c>
      <c r="L1555" t="str">
        <f>HYPERLINK("https://business-monitor.ch/de/companies/1145598-la-bottega-di-giuseppe-pietrobono?utm_source=oberaargau","PROFIL ANSEHEN")</f>
        <v>PROFIL ANSEHEN</v>
      </c>
    </row>
    <row r="1556" spans="1:12" x14ac:dyDescent="0.2">
      <c r="A1556" t="s">
        <v>10865</v>
      </c>
      <c r="B1556" t="s">
        <v>10866</v>
      </c>
      <c r="C1556" t="s">
        <v>1812</v>
      </c>
      <c r="E1556" t="s">
        <v>241</v>
      </c>
      <c r="F1556">
        <v>4900</v>
      </c>
      <c r="G1556" t="s">
        <v>41</v>
      </c>
      <c r="H1556" t="s">
        <v>16</v>
      </c>
      <c r="I1556" t="s">
        <v>1860</v>
      </c>
      <c r="J1556" t="s">
        <v>1861</v>
      </c>
      <c r="K1556" t="s">
        <v>1809</v>
      </c>
      <c r="L1556" t="str">
        <f>HYPERLINK("https://business-monitor.ch/de/companies/1100251-coiffeur-langenthal-inhaber-mejed-omar?utm_source=oberaargau","PROFIL ANSEHEN")</f>
        <v>PROFIL ANSEHEN</v>
      </c>
    </row>
    <row r="1557" spans="1:12" x14ac:dyDescent="0.2">
      <c r="A1557" t="s">
        <v>13509</v>
      </c>
      <c r="B1557" t="s">
        <v>13809</v>
      </c>
      <c r="C1557" t="s">
        <v>2178</v>
      </c>
      <c r="E1557" t="s">
        <v>258</v>
      </c>
      <c r="F1557">
        <v>3360</v>
      </c>
      <c r="G1557" t="s">
        <v>35</v>
      </c>
      <c r="H1557" t="s">
        <v>16</v>
      </c>
      <c r="I1557" t="s">
        <v>2397</v>
      </c>
      <c r="J1557" t="s">
        <v>2398</v>
      </c>
      <c r="K1557" t="s">
        <v>1809</v>
      </c>
      <c r="L1557" t="str">
        <f>HYPERLINK("https://business-monitor.ch/de/companies/1248021-provisi-gmbh?utm_source=oberaargau","PROFIL ANSEHEN")</f>
        <v>PROFIL ANSEHEN</v>
      </c>
    </row>
    <row r="1558" spans="1:12" x14ac:dyDescent="0.2">
      <c r="A1558" t="s">
        <v>10126</v>
      </c>
      <c r="B1558" t="s">
        <v>10127</v>
      </c>
      <c r="C1558" t="s">
        <v>13</v>
      </c>
      <c r="E1558" t="s">
        <v>636</v>
      </c>
      <c r="F1558">
        <v>4953</v>
      </c>
      <c r="G1558" t="s">
        <v>416</v>
      </c>
      <c r="H1558" t="s">
        <v>16</v>
      </c>
      <c r="I1558" t="s">
        <v>186</v>
      </c>
      <c r="J1558" t="s">
        <v>187</v>
      </c>
      <c r="K1558" t="s">
        <v>1809</v>
      </c>
      <c r="L1558" t="str">
        <f>HYPERLINK("https://business-monitor.ch/de/companies/659649-upaja-ag?utm_source=oberaargau","PROFIL ANSEHEN")</f>
        <v>PROFIL ANSEHEN</v>
      </c>
    </row>
    <row r="1559" spans="1:12" x14ac:dyDescent="0.2">
      <c r="A1559" t="s">
        <v>4624</v>
      </c>
      <c r="B1559" t="s">
        <v>4625</v>
      </c>
      <c r="C1559" t="s">
        <v>1812</v>
      </c>
      <c r="E1559" t="s">
        <v>2172</v>
      </c>
      <c r="F1559">
        <v>3380</v>
      </c>
      <c r="G1559" t="s">
        <v>29</v>
      </c>
      <c r="H1559" t="s">
        <v>16</v>
      </c>
      <c r="I1559" t="s">
        <v>642</v>
      </c>
      <c r="J1559" t="s">
        <v>643</v>
      </c>
      <c r="K1559" t="s">
        <v>1809</v>
      </c>
      <c r="L1559" t="str">
        <f>HYPERLINK("https://business-monitor.ch/de/companies/633174-garage-11-wuenschmann?utm_source=oberaargau","PROFIL ANSEHEN")</f>
        <v>PROFIL ANSEHEN</v>
      </c>
    </row>
    <row r="1560" spans="1:12" x14ac:dyDescent="0.2">
      <c r="A1560" t="s">
        <v>6034</v>
      </c>
      <c r="B1560" t="s">
        <v>6035</v>
      </c>
      <c r="C1560" t="s">
        <v>13</v>
      </c>
      <c r="E1560" t="s">
        <v>6036</v>
      </c>
      <c r="F1560">
        <v>4900</v>
      </c>
      <c r="G1560" t="s">
        <v>41</v>
      </c>
      <c r="H1560" t="s">
        <v>16</v>
      </c>
      <c r="I1560" t="s">
        <v>935</v>
      </c>
      <c r="J1560" t="s">
        <v>936</v>
      </c>
      <c r="K1560" t="s">
        <v>1809</v>
      </c>
      <c r="L1560" t="str">
        <f>HYPERLINK("https://business-monitor.ch/de/companies/427088-leu-immobilien-ag?utm_source=oberaargau","PROFIL ANSEHEN")</f>
        <v>PROFIL ANSEHEN</v>
      </c>
    </row>
    <row r="1561" spans="1:12" x14ac:dyDescent="0.2">
      <c r="A1561" t="s">
        <v>10202</v>
      </c>
      <c r="B1561" t="s">
        <v>10203</v>
      </c>
      <c r="C1561" t="s">
        <v>202</v>
      </c>
      <c r="E1561" t="s">
        <v>1495</v>
      </c>
      <c r="F1561">
        <v>4950</v>
      </c>
      <c r="G1561" t="s">
        <v>15</v>
      </c>
      <c r="H1561" t="s">
        <v>16</v>
      </c>
      <c r="I1561" t="s">
        <v>2231</v>
      </c>
      <c r="J1561" t="s">
        <v>2232</v>
      </c>
      <c r="K1561" t="s">
        <v>1809</v>
      </c>
      <c r="L1561" t="str">
        <f>HYPERLINK("https://business-monitor.ch/de/companies/618213-martignano-gmbh?utm_source=oberaargau","PROFIL ANSEHEN")</f>
        <v>PROFIL ANSEHEN</v>
      </c>
    </row>
    <row r="1562" spans="1:12" x14ac:dyDescent="0.2">
      <c r="A1562" t="s">
        <v>7515</v>
      </c>
      <c r="B1562" t="s">
        <v>7516</v>
      </c>
      <c r="C1562" t="s">
        <v>202</v>
      </c>
      <c r="E1562" t="s">
        <v>1388</v>
      </c>
      <c r="F1562">
        <v>4922</v>
      </c>
      <c r="G1562" t="s">
        <v>99</v>
      </c>
      <c r="H1562" t="s">
        <v>16</v>
      </c>
      <c r="I1562" t="s">
        <v>475</v>
      </c>
      <c r="J1562" t="s">
        <v>476</v>
      </c>
      <c r="K1562" t="s">
        <v>1809</v>
      </c>
      <c r="L1562" t="str">
        <f>HYPERLINK("https://business-monitor.ch/de/companies/715305-lylava-gmbh?utm_source=oberaargau","PROFIL ANSEHEN")</f>
        <v>PROFIL ANSEHEN</v>
      </c>
    </row>
    <row r="1563" spans="1:12" x14ac:dyDescent="0.2">
      <c r="A1563" t="s">
        <v>5835</v>
      </c>
      <c r="B1563" t="s">
        <v>5836</v>
      </c>
      <c r="C1563" t="s">
        <v>2178</v>
      </c>
      <c r="E1563" t="s">
        <v>984</v>
      </c>
      <c r="F1563">
        <v>4900</v>
      </c>
      <c r="G1563" t="s">
        <v>41</v>
      </c>
      <c r="H1563" t="s">
        <v>16</v>
      </c>
      <c r="I1563" t="s">
        <v>748</v>
      </c>
      <c r="J1563" t="s">
        <v>749</v>
      </c>
      <c r="K1563" t="s">
        <v>1809</v>
      </c>
      <c r="L1563" t="str">
        <f>HYPERLINK("https://business-monitor.ch/de/companies/476378-saa-ag-zweigniederlassung-langenthal?utm_source=oberaargau","PROFIL ANSEHEN")</f>
        <v>PROFIL ANSEHEN</v>
      </c>
    </row>
    <row r="1564" spans="1:12" x14ac:dyDescent="0.2">
      <c r="A1564" t="s">
        <v>9172</v>
      </c>
      <c r="B1564" t="s">
        <v>9173</v>
      </c>
      <c r="C1564" t="s">
        <v>1812</v>
      </c>
      <c r="E1564" t="s">
        <v>7519</v>
      </c>
      <c r="F1564">
        <v>3377</v>
      </c>
      <c r="G1564" t="s">
        <v>1220</v>
      </c>
      <c r="H1564" t="s">
        <v>16</v>
      </c>
      <c r="I1564" t="s">
        <v>9506</v>
      </c>
      <c r="J1564" t="s">
        <v>9507</v>
      </c>
      <c r="K1564" t="s">
        <v>1809</v>
      </c>
      <c r="L1564" t="str">
        <f>HYPERLINK("https://business-monitor.ch/de/companies/148068-wagner-motos-ulrich-wagner?utm_source=oberaargau","PROFIL ANSEHEN")</f>
        <v>PROFIL ANSEHEN</v>
      </c>
    </row>
    <row r="1565" spans="1:12" x14ac:dyDescent="0.2">
      <c r="A1565" t="s">
        <v>7575</v>
      </c>
      <c r="B1565" t="s">
        <v>7576</v>
      </c>
      <c r="C1565" t="s">
        <v>202</v>
      </c>
      <c r="E1565" t="s">
        <v>4080</v>
      </c>
      <c r="F1565">
        <v>3360</v>
      </c>
      <c r="G1565" t="s">
        <v>35</v>
      </c>
      <c r="H1565" t="s">
        <v>16</v>
      </c>
      <c r="I1565" t="s">
        <v>260</v>
      </c>
      <c r="J1565" t="s">
        <v>261</v>
      </c>
      <c r="K1565" t="s">
        <v>1809</v>
      </c>
      <c r="L1565" t="str">
        <f>HYPERLINK("https://business-monitor.ch/de/companies/686301-generalhaus-gmbh?utm_source=oberaargau","PROFIL ANSEHEN")</f>
        <v>PROFIL ANSEHEN</v>
      </c>
    </row>
    <row r="1566" spans="1:12" x14ac:dyDescent="0.2">
      <c r="A1566" t="s">
        <v>11848</v>
      </c>
      <c r="B1566" t="s">
        <v>11849</v>
      </c>
      <c r="C1566" t="s">
        <v>1812</v>
      </c>
      <c r="E1566" t="s">
        <v>5406</v>
      </c>
      <c r="F1566">
        <v>3360</v>
      </c>
      <c r="G1566" t="s">
        <v>35</v>
      </c>
      <c r="H1566" t="s">
        <v>16</v>
      </c>
      <c r="I1566" t="s">
        <v>2748</v>
      </c>
      <c r="J1566" t="s">
        <v>2749</v>
      </c>
      <c r="K1566" t="s">
        <v>1809</v>
      </c>
      <c r="L1566" t="str">
        <f>HYPERLINK("https://business-monitor.ch/de/companies/1168880-kis-allrounder?utm_source=oberaargau","PROFIL ANSEHEN")</f>
        <v>PROFIL ANSEHEN</v>
      </c>
    </row>
    <row r="1567" spans="1:12" x14ac:dyDescent="0.2">
      <c r="A1567" t="s">
        <v>7752</v>
      </c>
      <c r="B1567" t="s">
        <v>7753</v>
      </c>
      <c r="C1567" t="s">
        <v>1812</v>
      </c>
      <c r="E1567" t="s">
        <v>7754</v>
      </c>
      <c r="F1567">
        <v>3360</v>
      </c>
      <c r="G1567" t="s">
        <v>35</v>
      </c>
      <c r="H1567" t="s">
        <v>16</v>
      </c>
      <c r="I1567" t="s">
        <v>1097</v>
      </c>
      <c r="J1567" t="s">
        <v>1098</v>
      </c>
      <c r="K1567" t="s">
        <v>1809</v>
      </c>
      <c r="L1567" t="str">
        <f>HYPERLINK("https://business-monitor.ch/de/companies/584922-happy-tops-ch-kaenzig?utm_source=oberaargau","PROFIL ANSEHEN")</f>
        <v>PROFIL ANSEHEN</v>
      </c>
    </row>
    <row r="1568" spans="1:12" x14ac:dyDescent="0.2">
      <c r="A1568" t="s">
        <v>10692</v>
      </c>
      <c r="B1568" t="s">
        <v>10693</v>
      </c>
      <c r="C1568" t="s">
        <v>13</v>
      </c>
      <c r="E1568" t="s">
        <v>3619</v>
      </c>
      <c r="F1568">
        <v>4914</v>
      </c>
      <c r="G1568" t="s">
        <v>105</v>
      </c>
      <c r="H1568" t="s">
        <v>16</v>
      </c>
      <c r="I1568" t="s">
        <v>10694</v>
      </c>
      <c r="J1568" t="s">
        <v>10695</v>
      </c>
      <c r="K1568" t="s">
        <v>1809</v>
      </c>
      <c r="L1568" t="str">
        <f>HYPERLINK("https://business-monitor.ch/de/companies/412546-woleg-ag?utm_source=oberaargau","PROFIL ANSEHEN")</f>
        <v>PROFIL ANSEHEN</v>
      </c>
    </row>
    <row r="1569" spans="1:12" x14ac:dyDescent="0.2">
      <c r="A1569" t="s">
        <v>13100</v>
      </c>
      <c r="B1569" t="s">
        <v>13101</v>
      </c>
      <c r="C1569" t="s">
        <v>202</v>
      </c>
      <c r="E1569" t="s">
        <v>13102</v>
      </c>
      <c r="F1569">
        <v>4924</v>
      </c>
      <c r="G1569" t="s">
        <v>3727</v>
      </c>
      <c r="H1569" t="s">
        <v>16</v>
      </c>
      <c r="I1569" t="s">
        <v>475</v>
      </c>
      <c r="J1569" t="s">
        <v>476</v>
      </c>
      <c r="K1569" t="s">
        <v>1809</v>
      </c>
      <c r="L1569" t="str">
        <f>HYPERLINK("https://business-monitor.ch/de/companies/1234951-w-m-energie-gmbh?utm_source=oberaargau","PROFIL ANSEHEN")</f>
        <v>PROFIL ANSEHEN</v>
      </c>
    </row>
    <row r="1570" spans="1:12" x14ac:dyDescent="0.2">
      <c r="A1570" t="s">
        <v>13189</v>
      </c>
      <c r="B1570" t="s">
        <v>13190</v>
      </c>
      <c r="C1570" t="s">
        <v>202</v>
      </c>
      <c r="E1570" t="s">
        <v>11903</v>
      </c>
      <c r="F1570">
        <v>3360</v>
      </c>
      <c r="G1570" t="s">
        <v>35</v>
      </c>
      <c r="H1570" t="s">
        <v>16</v>
      </c>
      <c r="I1570" t="s">
        <v>733</v>
      </c>
      <c r="J1570" t="s">
        <v>734</v>
      </c>
      <c r="K1570" t="s">
        <v>1809</v>
      </c>
      <c r="L1570" t="str">
        <f>HYPERLINK("https://business-monitor.ch/de/companies/1234972-schneider-automobile-gmbh?utm_source=oberaargau","PROFIL ANSEHEN")</f>
        <v>PROFIL ANSEHEN</v>
      </c>
    </row>
    <row r="1571" spans="1:12" x14ac:dyDescent="0.2">
      <c r="A1571" t="s">
        <v>5109</v>
      </c>
      <c r="B1571" t="s">
        <v>5110</v>
      </c>
      <c r="C1571" t="s">
        <v>1812</v>
      </c>
      <c r="E1571" t="s">
        <v>1525</v>
      </c>
      <c r="F1571">
        <v>3375</v>
      </c>
      <c r="G1571" t="s">
        <v>667</v>
      </c>
      <c r="H1571" t="s">
        <v>16</v>
      </c>
      <c r="I1571" t="s">
        <v>997</v>
      </c>
      <c r="J1571" t="s">
        <v>998</v>
      </c>
      <c r="K1571" t="s">
        <v>1809</v>
      </c>
      <c r="L1571" t="str">
        <f>HYPERLINK("https://business-monitor.ch/de/companies/185753-united-velos-d-schaad?utm_source=oberaargau","PROFIL ANSEHEN")</f>
        <v>PROFIL ANSEHEN</v>
      </c>
    </row>
    <row r="1572" spans="1:12" x14ac:dyDescent="0.2">
      <c r="A1572" t="s">
        <v>7948</v>
      </c>
      <c r="B1572" t="s">
        <v>7949</v>
      </c>
      <c r="C1572" t="s">
        <v>202</v>
      </c>
      <c r="D1572" t="s">
        <v>7950</v>
      </c>
      <c r="E1572" t="s">
        <v>7951</v>
      </c>
      <c r="F1572">
        <v>4914</v>
      </c>
      <c r="G1572" t="s">
        <v>105</v>
      </c>
      <c r="H1572" t="s">
        <v>16</v>
      </c>
      <c r="I1572" t="s">
        <v>3861</v>
      </c>
      <c r="J1572" t="s">
        <v>3862</v>
      </c>
      <c r="K1572" t="s">
        <v>1809</v>
      </c>
      <c r="L1572" t="str">
        <f>HYPERLINK("https://business-monitor.ch/de/companies/1073438-the-palms-thai-massage-gmbh?utm_source=oberaargau","PROFIL ANSEHEN")</f>
        <v>PROFIL ANSEHEN</v>
      </c>
    </row>
    <row r="1573" spans="1:12" x14ac:dyDescent="0.2">
      <c r="A1573" t="s">
        <v>4446</v>
      </c>
      <c r="B1573" t="s">
        <v>4447</v>
      </c>
      <c r="C1573" t="s">
        <v>1812</v>
      </c>
      <c r="E1573" t="s">
        <v>12797</v>
      </c>
      <c r="F1573">
        <v>4538</v>
      </c>
      <c r="G1573" t="s">
        <v>71</v>
      </c>
      <c r="H1573" t="s">
        <v>16</v>
      </c>
      <c r="I1573" t="s">
        <v>144</v>
      </c>
      <c r="J1573" t="s">
        <v>145</v>
      </c>
      <c r="K1573" t="s">
        <v>1809</v>
      </c>
      <c r="L1573" t="str">
        <f>HYPERLINK("https://business-monitor.ch/de/companies/732098-atelier-freesmeier?utm_source=oberaargau","PROFIL ANSEHEN")</f>
        <v>PROFIL ANSEHEN</v>
      </c>
    </row>
    <row r="1574" spans="1:12" x14ac:dyDescent="0.2">
      <c r="A1574" t="s">
        <v>6918</v>
      </c>
      <c r="B1574" t="s">
        <v>6919</v>
      </c>
      <c r="C1574" t="s">
        <v>202</v>
      </c>
      <c r="E1574" t="s">
        <v>6920</v>
      </c>
      <c r="F1574">
        <v>4950</v>
      </c>
      <c r="G1574" t="s">
        <v>15</v>
      </c>
      <c r="H1574" t="s">
        <v>16</v>
      </c>
      <c r="I1574" t="s">
        <v>1278</v>
      </c>
      <c r="J1574" t="s">
        <v>1279</v>
      </c>
      <c r="K1574" t="s">
        <v>1809</v>
      </c>
      <c r="L1574" t="str">
        <f>HYPERLINK("https://business-monitor.ch/de/companies/14757-minder-schlosserei-und-montage-gmbh?utm_source=oberaargau","PROFIL ANSEHEN")</f>
        <v>PROFIL ANSEHEN</v>
      </c>
    </row>
    <row r="1575" spans="1:12" x14ac:dyDescent="0.2">
      <c r="A1575" t="s">
        <v>3021</v>
      </c>
      <c r="B1575" t="s">
        <v>3022</v>
      </c>
      <c r="C1575" t="s">
        <v>1922</v>
      </c>
      <c r="E1575" t="s">
        <v>3023</v>
      </c>
      <c r="F1575">
        <v>4900</v>
      </c>
      <c r="G1575" t="s">
        <v>41</v>
      </c>
      <c r="H1575" t="s">
        <v>16</v>
      </c>
      <c r="I1575" t="s">
        <v>3024</v>
      </c>
      <c r="J1575" t="s">
        <v>3025</v>
      </c>
      <c r="K1575" t="s">
        <v>1809</v>
      </c>
      <c r="L1575" t="str">
        <f>HYPERLINK("https://business-monitor.ch/de/companies/316661-stiftung-trummlehus?utm_source=oberaargau","PROFIL ANSEHEN")</f>
        <v>PROFIL ANSEHEN</v>
      </c>
    </row>
    <row r="1576" spans="1:12" x14ac:dyDescent="0.2">
      <c r="A1576" t="s">
        <v>7266</v>
      </c>
      <c r="B1576" t="s">
        <v>7267</v>
      </c>
      <c r="C1576" t="s">
        <v>202</v>
      </c>
      <c r="E1576" t="s">
        <v>7268</v>
      </c>
      <c r="F1576">
        <v>4900</v>
      </c>
      <c r="G1576" t="s">
        <v>41</v>
      </c>
      <c r="H1576" t="s">
        <v>16</v>
      </c>
      <c r="I1576" t="s">
        <v>1852</v>
      </c>
      <c r="J1576" t="s">
        <v>1853</v>
      </c>
      <c r="K1576" t="s">
        <v>1809</v>
      </c>
      <c r="L1576" t="str">
        <f>HYPERLINK("https://business-monitor.ch/de/companies/1015650-livex-partner-gmbh?utm_source=oberaargau","PROFIL ANSEHEN")</f>
        <v>PROFIL ANSEHEN</v>
      </c>
    </row>
    <row r="1577" spans="1:12" x14ac:dyDescent="0.2">
      <c r="A1577" t="s">
        <v>9582</v>
      </c>
      <c r="B1577" t="s">
        <v>9583</v>
      </c>
      <c r="C1577" t="s">
        <v>202</v>
      </c>
      <c r="D1577" t="s">
        <v>9584</v>
      </c>
      <c r="E1577" t="s">
        <v>9585</v>
      </c>
      <c r="F1577">
        <v>4900</v>
      </c>
      <c r="G1577" t="s">
        <v>41</v>
      </c>
      <c r="H1577" t="s">
        <v>16</v>
      </c>
      <c r="I1577" t="s">
        <v>2226</v>
      </c>
      <c r="J1577" t="s">
        <v>2227</v>
      </c>
      <c r="K1577" t="s">
        <v>1809</v>
      </c>
      <c r="L1577" t="str">
        <f>HYPERLINK("https://business-monitor.ch/de/companies/988080-chiro4you-gmbh?utm_source=oberaargau","PROFIL ANSEHEN")</f>
        <v>PROFIL ANSEHEN</v>
      </c>
    </row>
    <row r="1578" spans="1:12" x14ac:dyDescent="0.2">
      <c r="A1578" t="s">
        <v>5761</v>
      </c>
      <c r="B1578" t="s">
        <v>5762</v>
      </c>
      <c r="C1578" t="s">
        <v>202</v>
      </c>
      <c r="E1578" t="s">
        <v>5763</v>
      </c>
      <c r="F1578">
        <v>4537</v>
      </c>
      <c r="G1578" t="s">
        <v>113</v>
      </c>
      <c r="H1578" t="s">
        <v>16</v>
      </c>
      <c r="I1578" t="s">
        <v>4770</v>
      </c>
      <c r="J1578" t="s">
        <v>4771</v>
      </c>
      <c r="K1578" t="s">
        <v>1809</v>
      </c>
      <c r="L1578" t="str">
        <f>HYPERLINK("https://business-monitor.ch/de/companies/517749-zweifel-ofenbau-gmbh?utm_source=oberaargau","PROFIL ANSEHEN")</f>
        <v>PROFIL ANSEHEN</v>
      </c>
    </row>
    <row r="1579" spans="1:12" x14ac:dyDescent="0.2">
      <c r="A1579" t="s">
        <v>3012</v>
      </c>
      <c r="B1579" t="s">
        <v>3013</v>
      </c>
      <c r="C1579" t="s">
        <v>1812</v>
      </c>
      <c r="E1579" t="s">
        <v>2477</v>
      </c>
      <c r="F1579">
        <v>3374</v>
      </c>
      <c r="G1579" t="s">
        <v>894</v>
      </c>
      <c r="H1579" t="s">
        <v>16</v>
      </c>
      <c r="I1579" t="s">
        <v>464</v>
      </c>
      <c r="J1579" t="s">
        <v>465</v>
      </c>
      <c r="K1579" t="s">
        <v>1809</v>
      </c>
      <c r="L1579" t="str">
        <f>HYPERLINK("https://business-monitor.ch/de/companies/152246-martin-gruetter-transporte?utm_source=oberaargau","PROFIL ANSEHEN")</f>
        <v>PROFIL ANSEHEN</v>
      </c>
    </row>
    <row r="1580" spans="1:12" x14ac:dyDescent="0.2">
      <c r="A1580" t="s">
        <v>13433</v>
      </c>
      <c r="B1580" t="s">
        <v>13434</v>
      </c>
      <c r="C1580" t="s">
        <v>1812</v>
      </c>
      <c r="E1580" t="s">
        <v>1075</v>
      </c>
      <c r="F1580">
        <v>4932</v>
      </c>
      <c r="G1580" t="s">
        <v>325</v>
      </c>
      <c r="H1580" t="s">
        <v>16</v>
      </c>
      <c r="I1580" t="s">
        <v>862</v>
      </c>
      <c r="J1580" t="s">
        <v>863</v>
      </c>
      <c r="K1580" t="s">
        <v>1809</v>
      </c>
      <c r="L1580" t="str">
        <f>HYPERLINK("https://business-monitor.ch/de/companies/1251594-creartelier-emel-rosser?utm_source=oberaargau","PROFIL ANSEHEN")</f>
        <v>PROFIL ANSEHEN</v>
      </c>
    </row>
    <row r="1581" spans="1:12" x14ac:dyDescent="0.2">
      <c r="A1581" t="s">
        <v>5377</v>
      </c>
      <c r="B1581" t="s">
        <v>5378</v>
      </c>
      <c r="C1581" t="s">
        <v>1812</v>
      </c>
      <c r="E1581" t="s">
        <v>5379</v>
      </c>
      <c r="F1581">
        <v>4536</v>
      </c>
      <c r="G1581" t="s">
        <v>1395</v>
      </c>
      <c r="H1581" t="s">
        <v>16</v>
      </c>
      <c r="I1581" t="s">
        <v>260</v>
      </c>
      <c r="J1581" t="s">
        <v>261</v>
      </c>
      <c r="K1581" t="s">
        <v>1809</v>
      </c>
      <c r="L1581" t="str">
        <f>HYPERLINK("https://business-monitor.ch/de/companies/363936-joerg-ryf-mueller?utm_source=oberaargau","PROFIL ANSEHEN")</f>
        <v>PROFIL ANSEHEN</v>
      </c>
    </row>
    <row r="1582" spans="1:12" x14ac:dyDescent="0.2">
      <c r="A1582" t="s">
        <v>8423</v>
      </c>
      <c r="B1582" t="s">
        <v>8424</v>
      </c>
      <c r="C1582" t="s">
        <v>13</v>
      </c>
      <c r="E1582" t="s">
        <v>1525</v>
      </c>
      <c r="F1582">
        <v>4950</v>
      </c>
      <c r="G1582" t="s">
        <v>15</v>
      </c>
      <c r="H1582" t="s">
        <v>16</v>
      </c>
      <c r="I1582" t="s">
        <v>1918</v>
      </c>
      <c r="J1582" t="s">
        <v>1919</v>
      </c>
      <c r="K1582" t="s">
        <v>1809</v>
      </c>
      <c r="L1582" t="str">
        <f>HYPERLINK("https://business-monitor.ch/de/companies/518992-schaer-optik-ag?utm_source=oberaargau","PROFIL ANSEHEN")</f>
        <v>PROFIL ANSEHEN</v>
      </c>
    </row>
    <row r="1583" spans="1:12" x14ac:dyDescent="0.2">
      <c r="A1583" t="s">
        <v>952</v>
      </c>
      <c r="B1583" t="s">
        <v>3512</v>
      </c>
      <c r="C1583" t="s">
        <v>1812</v>
      </c>
      <c r="E1583" t="s">
        <v>3513</v>
      </c>
      <c r="F1583">
        <v>3380</v>
      </c>
      <c r="G1583" t="s">
        <v>29</v>
      </c>
      <c r="H1583" t="s">
        <v>16</v>
      </c>
      <c r="I1583" t="s">
        <v>3514</v>
      </c>
      <c r="J1583" t="s">
        <v>3515</v>
      </c>
      <c r="K1583" t="s">
        <v>1809</v>
      </c>
      <c r="L1583" t="str">
        <f>HYPERLINK("https://business-monitor.ch/de/companies/153037-haexaechuchi-anna-aegerter?utm_source=oberaargau","PROFIL ANSEHEN")</f>
        <v>PROFIL ANSEHEN</v>
      </c>
    </row>
    <row r="1584" spans="1:12" x14ac:dyDescent="0.2">
      <c r="A1584" t="s">
        <v>2893</v>
      </c>
      <c r="B1584" t="s">
        <v>2894</v>
      </c>
      <c r="C1584" t="s">
        <v>1812</v>
      </c>
      <c r="E1584" t="s">
        <v>652</v>
      </c>
      <c r="F1584">
        <v>4914</v>
      </c>
      <c r="G1584" t="s">
        <v>105</v>
      </c>
      <c r="H1584" t="s">
        <v>16</v>
      </c>
      <c r="I1584" t="s">
        <v>157</v>
      </c>
      <c r="J1584" t="s">
        <v>158</v>
      </c>
      <c r="K1584" t="s">
        <v>1809</v>
      </c>
      <c r="L1584" t="str">
        <f>HYPERLINK("https://business-monitor.ch/de/companies/1065311-kurt-schaer-projekt-management?utm_source=oberaargau","PROFIL ANSEHEN")</f>
        <v>PROFIL ANSEHEN</v>
      </c>
    </row>
    <row r="1585" spans="1:12" x14ac:dyDescent="0.2">
      <c r="A1585" t="s">
        <v>9193</v>
      </c>
      <c r="B1585" t="s">
        <v>9194</v>
      </c>
      <c r="C1585" t="s">
        <v>1812</v>
      </c>
      <c r="E1585" t="s">
        <v>11431</v>
      </c>
      <c r="F1585">
        <v>4912</v>
      </c>
      <c r="G1585" t="s">
        <v>64</v>
      </c>
      <c r="H1585" t="s">
        <v>16</v>
      </c>
      <c r="I1585" t="s">
        <v>232</v>
      </c>
      <c r="J1585" t="s">
        <v>233</v>
      </c>
      <c r="K1585" t="s">
        <v>1809</v>
      </c>
      <c r="L1585" t="str">
        <f>HYPERLINK("https://business-monitor.ch/de/companies/153694-heiner-meier-berger-compta-treuhand?utm_source=oberaargau","PROFIL ANSEHEN")</f>
        <v>PROFIL ANSEHEN</v>
      </c>
    </row>
    <row r="1586" spans="1:12" x14ac:dyDescent="0.2">
      <c r="A1586" t="s">
        <v>13453</v>
      </c>
      <c r="B1586" t="s">
        <v>13454</v>
      </c>
      <c r="C1586" t="s">
        <v>1812</v>
      </c>
      <c r="E1586" t="s">
        <v>11852</v>
      </c>
      <c r="F1586">
        <v>4912</v>
      </c>
      <c r="G1586" t="s">
        <v>64</v>
      </c>
      <c r="H1586" t="s">
        <v>16</v>
      </c>
      <c r="I1586" t="s">
        <v>845</v>
      </c>
      <c r="J1586" t="s">
        <v>846</v>
      </c>
      <c r="K1586" t="s">
        <v>1809</v>
      </c>
      <c r="L1586" t="str">
        <f>HYPERLINK("https://business-monitor.ch/de/companies/1251406-micu-bau?utm_source=oberaargau","PROFIL ANSEHEN")</f>
        <v>PROFIL ANSEHEN</v>
      </c>
    </row>
    <row r="1587" spans="1:12" x14ac:dyDescent="0.2">
      <c r="A1587" t="s">
        <v>10823</v>
      </c>
      <c r="B1587" t="s">
        <v>10824</v>
      </c>
      <c r="C1587" t="s">
        <v>13</v>
      </c>
      <c r="D1587" t="s">
        <v>10825</v>
      </c>
      <c r="E1587" t="s">
        <v>10826</v>
      </c>
      <c r="F1587">
        <v>4912</v>
      </c>
      <c r="G1587" t="s">
        <v>64</v>
      </c>
      <c r="H1587" t="s">
        <v>16</v>
      </c>
      <c r="I1587" t="s">
        <v>186</v>
      </c>
      <c r="J1587" t="s">
        <v>187</v>
      </c>
      <c r="K1587" t="s">
        <v>1809</v>
      </c>
      <c r="L1587" t="str">
        <f>HYPERLINK("https://business-monitor.ch/de/companies/1104542-any-holding-ag?utm_source=oberaargau","PROFIL ANSEHEN")</f>
        <v>PROFIL ANSEHEN</v>
      </c>
    </row>
    <row r="1588" spans="1:12" x14ac:dyDescent="0.2">
      <c r="A1588" t="s">
        <v>10159</v>
      </c>
      <c r="B1588" t="s">
        <v>10160</v>
      </c>
      <c r="C1588" t="s">
        <v>202</v>
      </c>
      <c r="E1588" t="s">
        <v>10161</v>
      </c>
      <c r="F1588">
        <v>4953</v>
      </c>
      <c r="G1588" t="s">
        <v>416</v>
      </c>
      <c r="H1588" t="s">
        <v>16</v>
      </c>
      <c r="I1588" t="s">
        <v>134</v>
      </c>
      <c r="J1588" t="s">
        <v>135</v>
      </c>
      <c r="K1588" t="s">
        <v>1809</v>
      </c>
      <c r="L1588" t="str">
        <f>HYPERLINK("https://business-monitor.ch/de/companies/648023-germar-gmbh?utm_source=oberaargau","PROFIL ANSEHEN")</f>
        <v>PROFIL ANSEHEN</v>
      </c>
    </row>
    <row r="1589" spans="1:12" x14ac:dyDescent="0.2">
      <c r="A1589" t="s">
        <v>13449</v>
      </c>
      <c r="B1589" t="s">
        <v>13450</v>
      </c>
      <c r="C1589" t="s">
        <v>202</v>
      </c>
      <c r="E1589" t="s">
        <v>731</v>
      </c>
      <c r="F1589">
        <v>4922</v>
      </c>
      <c r="G1589" t="s">
        <v>99</v>
      </c>
      <c r="H1589" t="s">
        <v>16</v>
      </c>
      <c r="I1589" t="s">
        <v>1860</v>
      </c>
      <c r="J1589" t="s">
        <v>1861</v>
      </c>
      <c r="K1589" t="s">
        <v>1809</v>
      </c>
      <c r="L1589" t="str">
        <f>HYPERLINK("https://business-monitor.ch/de/companies/1251702-coiffure-piffaretti-gmbh?utm_source=oberaargau","PROFIL ANSEHEN")</f>
        <v>PROFIL ANSEHEN</v>
      </c>
    </row>
    <row r="1590" spans="1:12" x14ac:dyDescent="0.2">
      <c r="A1590" t="s">
        <v>10833</v>
      </c>
      <c r="B1590" t="s">
        <v>10834</v>
      </c>
      <c r="C1590" t="s">
        <v>202</v>
      </c>
      <c r="D1590" t="s">
        <v>10835</v>
      </c>
      <c r="E1590" t="s">
        <v>10836</v>
      </c>
      <c r="F1590">
        <v>4923</v>
      </c>
      <c r="G1590" t="s">
        <v>732</v>
      </c>
      <c r="H1590" t="s">
        <v>16</v>
      </c>
      <c r="I1590" t="s">
        <v>24</v>
      </c>
      <c r="J1590" t="s">
        <v>25</v>
      </c>
      <c r="K1590" t="s">
        <v>1809</v>
      </c>
      <c r="L1590" t="str">
        <f>HYPERLINK("https://business-monitor.ch/de/companies/1104621-mclb-gmbh?utm_source=oberaargau","PROFIL ANSEHEN")</f>
        <v>PROFIL ANSEHEN</v>
      </c>
    </row>
    <row r="1591" spans="1:12" x14ac:dyDescent="0.2">
      <c r="A1591" t="s">
        <v>10758</v>
      </c>
      <c r="B1591" t="s">
        <v>10759</v>
      </c>
      <c r="C1591" t="s">
        <v>202</v>
      </c>
      <c r="E1591" t="s">
        <v>756</v>
      </c>
      <c r="F1591">
        <v>3360</v>
      </c>
      <c r="G1591" t="s">
        <v>35</v>
      </c>
      <c r="H1591" t="s">
        <v>16</v>
      </c>
      <c r="I1591" t="s">
        <v>2825</v>
      </c>
      <c r="J1591" t="s">
        <v>2826</v>
      </c>
      <c r="K1591" t="s">
        <v>1809</v>
      </c>
      <c r="L1591" t="str">
        <f>HYPERLINK("https://business-monitor.ch/de/companies/1096858-vectora-gmbh?utm_source=oberaargau","PROFIL ANSEHEN")</f>
        <v>PROFIL ANSEHEN</v>
      </c>
    </row>
    <row r="1592" spans="1:12" x14ac:dyDescent="0.2">
      <c r="A1592" t="s">
        <v>11571</v>
      </c>
      <c r="B1592" t="s">
        <v>11572</v>
      </c>
      <c r="C1592" t="s">
        <v>1812</v>
      </c>
      <c r="E1592" t="s">
        <v>11573</v>
      </c>
      <c r="F1592">
        <v>4934</v>
      </c>
      <c r="G1592" t="s">
        <v>670</v>
      </c>
      <c r="H1592" t="s">
        <v>16</v>
      </c>
      <c r="I1592" t="s">
        <v>642</v>
      </c>
      <c r="J1592" t="s">
        <v>643</v>
      </c>
      <c r="K1592" t="s">
        <v>1809</v>
      </c>
      <c r="L1592" t="str">
        <f>HYPERLINK("https://business-monitor.ch/de/companies/1147902-tk-autopflege-allround-service-tim-kneubuehler?utm_source=oberaargau","PROFIL ANSEHEN")</f>
        <v>PROFIL ANSEHEN</v>
      </c>
    </row>
    <row r="1593" spans="1:12" x14ac:dyDescent="0.2">
      <c r="A1593" t="s">
        <v>13325</v>
      </c>
      <c r="B1593" t="s">
        <v>13326</v>
      </c>
      <c r="C1593" t="s">
        <v>1812</v>
      </c>
      <c r="E1593" t="s">
        <v>11616</v>
      </c>
      <c r="F1593">
        <v>3360</v>
      </c>
      <c r="G1593" t="s">
        <v>35</v>
      </c>
      <c r="H1593" t="s">
        <v>16</v>
      </c>
      <c r="I1593" t="s">
        <v>1376</v>
      </c>
      <c r="J1593" t="s">
        <v>1377</v>
      </c>
      <c r="K1593" t="s">
        <v>1809</v>
      </c>
      <c r="L1593" t="str">
        <f>HYPERLINK("https://business-monitor.ch/de/companies/1251639-stern-verpackung-inh-muslija?utm_source=oberaargau","PROFIL ANSEHEN")</f>
        <v>PROFIL ANSEHEN</v>
      </c>
    </row>
    <row r="1594" spans="1:12" x14ac:dyDescent="0.2">
      <c r="A1594" t="s">
        <v>4592</v>
      </c>
      <c r="B1594" t="s">
        <v>4593</v>
      </c>
      <c r="C1594" t="s">
        <v>13</v>
      </c>
      <c r="E1594" t="s">
        <v>3818</v>
      </c>
      <c r="F1594">
        <v>4934</v>
      </c>
      <c r="G1594" t="s">
        <v>670</v>
      </c>
      <c r="H1594" t="s">
        <v>16</v>
      </c>
      <c r="I1594" t="s">
        <v>1296</v>
      </c>
      <c r="J1594" t="s">
        <v>1297</v>
      </c>
      <c r="K1594" t="s">
        <v>1809</v>
      </c>
      <c r="L1594" t="str">
        <f>HYPERLINK("https://business-monitor.ch/de/companies/648867-regio-marktplatz-madiswil-ag?utm_source=oberaargau","PROFIL ANSEHEN")</f>
        <v>PROFIL ANSEHEN</v>
      </c>
    </row>
    <row r="1595" spans="1:12" x14ac:dyDescent="0.2">
      <c r="A1595" t="s">
        <v>7244</v>
      </c>
      <c r="B1595" t="s">
        <v>7245</v>
      </c>
      <c r="C1595" t="s">
        <v>202</v>
      </c>
      <c r="E1595" t="s">
        <v>7246</v>
      </c>
      <c r="F1595">
        <v>4914</v>
      </c>
      <c r="G1595" t="s">
        <v>105</v>
      </c>
      <c r="H1595" t="s">
        <v>16</v>
      </c>
      <c r="I1595" t="s">
        <v>854</v>
      </c>
      <c r="J1595" t="s">
        <v>855</v>
      </c>
      <c r="K1595" t="s">
        <v>1809</v>
      </c>
      <c r="L1595" t="str">
        <f>HYPERLINK("https://business-monitor.ch/de/companies/1023044-hasler-it-solutions-gmbh?utm_source=oberaargau","PROFIL ANSEHEN")</f>
        <v>PROFIL ANSEHEN</v>
      </c>
    </row>
    <row r="1596" spans="1:12" x14ac:dyDescent="0.2">
      <c r="A1596" t="s">
        <v>10841</v>
      </c>
      <c r="B1596" t="s">
        <v>10842</v>
      </c>
      <c r="C1596" t="s">
        <v>1812</v>
      </c>
      <c r="E1596" t="s">
        <v>10843</v>
      </c>
      <c r="F1596">
        <v>4923</v>
      </c>
      <c r="G1596" t="s">
        <v>732</v>
      </c>
      <c r="H1596" t="s">
        <v>16</v>
      </c>
      <c r="I1596" t="s">
        <v>3068</v>
      </c>
      <c r="J1596" t="s">
        <v>3069</v>
      </c>
      <c r="K1596" t="s">
        <v>1809</v>
      </c>
      <c r="L1596" t="str">
        <f>HYPERLINK("https://business-monitor.ch/de/companies/1100155-montinaro?utm_source=oberaargau","PROFIL ANSEHEN")</f>
        <v>PROFIL ANSEHEN</v>
      </c>
    </row>
    <row r="1597" spans="1:12" x14ac:dyDescent="0.2">
      <c r="A1597" t="s">
        <v>11633</v>
      </c>
      <c r="B1597" t="s">
        <v>11634</v>
      </c>
      <c r="C1597" t="s">
        <v>202</v>
      </c>
      <c r="E1597" t="s">
        <v>11206</v>
      </c>
      <c r="F1597">
        <v>4917</v>
      </c>
      <c r="G1597" t="s">
        <v>376</v>
      </c>
      <c r="H1597" t="s">
        <v>16</v>
      </c>
      <c r="I1597" t="s">
        <v>464</v>
      </c>
      <c r="J1597" t="s">
        <v>465</v>
      </c>
      <c r="K1597" t="s">
        <v>1809</v>
      </c>
      <c r="L1597" t="str">
        <f>HYPERLINK("https://business-monitor.ch/de/companies/1157591-florian-mueller-gmbh?utm_source=oberaargau","PROFIL ANSEHEN")</f>
        <v>PROFIL ANSEHEN</v>
      </c>
    </row>
    <row r="1598" spans="1:12" x14ac:dyDescent="0.2">
      <c r="A1598" t="s">
        <v>4244</v>
      </c>
      <c r="B1598" t="s">
        <v>4245</v>
      </c>
      <c r="C1598" t="s">
        <v>13</v>
      </c>
      <c r="E1598" t="s">
        <v>4246</v>
      </c>
      <c r="F1598">
        <v>4900</v>
      </c>
      <c r="G1598" t="s">
        <v>41</v>
      </c>
      <c r="H1598" t="s">
        <v>16</v>
      </c>
      <c r="I1598" t="s">
        <v>4247</v>
      </c>
      <c r="J1598" t="s">
        <v>4248</v>
      </c>
      <c r="K1598" t="s">
        <v>1809</v>
      </c>
      <c r="L1598" t="str">
        <f>HYPERLINK("https://business-monitor.ch/de/companies/989305-frauenarztpraxis-langenthal-ag?utm_source=oberaargau","PROFIL ANSEHEN")</f>
        <v>PROFIL ANSEHEN</v>
      </c>
    </row>
    <row r="1599" spans="1:12" x14ac:dyDescent="0.2">
      <c r="A1599" t="s">
        <v>1056</v>
      </c>
      <c r="B1599" t="s">
        <v>1057</v>
      </c>
      <c r="C1599" t="s">
        <v>202</v>
      </c>
      <c r="E1599" t="s">
        <v>11099</v>
      </c>
      <c r="F1599">
        <v>3360</v>
      </c>
      <c r="G1599" t="s">
        <v>35</v>
      </c>
      <c r="H1599" t="s">
        <v>16</v>
      </c>
      <c r="I1599" t="s">
        <v>335</v>
      </c>
      <c r="J1599" t="s">
        <v>336</v>
      </c>
      <c r="K1599" t="s">
        <v>1809</v>
      </c>
      <c r="L1599" t="str">
        <f>HYPERLINK("https://business-monitor.ch/de/companies/364130-innofreight-swiss-gmbh?utm_source=oberaargau","PROFIL ANSEHEN")</f>
        <v>PROFIL ANSEHEN</v>
      </c>
    </row>
    <row r="1600" spans="1:12" x14ac:dyDescent="0.2">
      <c r="A1600" t="s">
        <v>6257</v>
      </c>
      <c r="B1600" t="s">
        <v>6258</v>
      </c>
      <c r="C1600" t="s">
        <v>1812</v>
      </c>
      <c r="E1600" t="s">
        <v>1301</v>
      </c>
      <c r="F1600">
        <v>3380</v>
      </c>
      <c r="G1600" t="s">
        <v>29</v>
      </c>
      <c r="H1600" t="s">
        <v>16</v>
      </c>
      <c r="I1600" t="s">
        <v>642</v>
      </c>
      <c r="J1600" t="s">
        <v>643</v>
      </c>
      <c r="K1600" t="s">
        <v>1809</v>
      </c>
      <c r="L1600" t="str">
        <f>HYPERLINK("https://business-monitor.ch/de/companies/346527-vorstadt-garage-walter-heiniger?utm_source=oberaargau","PROFIL ANSEHEN")</f>
        <v>PROFIL ANSEHEN</v>
      </c>
    </row>
    <row r="1601" spans="1:12" x14ac:dyDescent="0.2">
      <c r="A1601" t="s">
        <v>10153</v>
      </c>
      <c r="B1601" t="s">
        <v>10154</v>
      </c>
      <c r="C1601" t="s">
        <v>202</v>
      </c>
      <c r="E1601" t="s">
        <v>8566</v>
      </c>
      <c r="F1601">
        <v>4538</v>
      </c>
      <c r="G1601" t="s">
        <v>71</v>
      </c>
      <c r="H1601" t="s">
        <v>16</v>
      </c>
      <c r="I1601" t="s">
        <v>298</v>
      </c>
      <c r="J1601" t="s">
        <v>299</v>
      </c>
      <c r="K1601" t="s">
        <v>1809</v>
      </c>
      <c r="L1601" t="str">
        <f>HYPERLINK("https://business-monitor.ch/de/companies/651018-gamar-systems-gmbh?utm_source=oberaargau","PROFIL ANSEHEN")</f>
        <v>PROFIL ANSEHEN</v>
      </c>
    </row>
    <row r="1602" spans="1:12" x14ac:dyDescent="0.2">
      <c r="A1602" t="s">
        <v>10683</v>
      </c>
      <c r="B1602" t="s">
        <v>10684</v>
      </c>
      <c r="C1602" t="s">
        <v>1812</v>
      </c>
      <c r="E1602" t="s">
        <v>10685</v>
      </c>
      <c r="F1602">
        <v>4900</v>
      </c>
      <c r="G1602" t="s">
        <v>41</v>
      </c>
      <c r="H1602" t="s">
        <v>16</v>
      </c>
      <c r="I1602" t="s">
        <v>59</v>
      </c>
      <c r="J1602" t="s">
        <v>60</v>
      </c>
      <c r="K1602" t="s">
        <v>1809</v>
      </c>
      <c r="L1602" t="str">
        <f>HYPERLINK("https://business-monitor.ch/de/companies/509690-gasthof-neuhuesli-inhaber-hans-marc-fiechter?utm_source=oberaargau","PROFIL ANSEHEN")</f>
        <v>PROFIL ANSEHEN</v>
      </c>
    </row>
    <row r="1603" spans="1:12" x14ac:dyDescent="0.2">
      <c r="A1603" t="s">
        <v>13418</v>
      </c>
      <c r="B1603" t="s">
        <v>13419</v>
      </c>
      <c r="C1603" t="s">
        <v>202</v>
      </c>
      <c r="E1603" t="s">
        <v>13420</v>
      </c>
      <c r="F1603">
        <v>4900</v>
      </c>
      <c r="G1603" t="s">
        <v>41</v>
      </c>
      <c r="H1603" t="s">
        <v>16</v>
      </c>
      <c r="I1603" t="s">
        <v>1296</v>
      </c>
      <c r="J1603" t="s">
        <v>1297</v>
      </c>
      <c r="K1603" t="s">
        <v>1809</v>
      </c>
      <c r="L1603" t="str">
        <f>HYPERLINK("https://business-monitor.ch/de/companies/1175513-tentimesmore-marketing-gmbh?utm_source=oberaargau","PROFIL ANSEHEN")</f>
        <v>PROFIL ANSEHEN</v>
      </c>
    </row>
    <row r="1604" spans="1:12" x14ac:dyDescent="0.2">
      <c r="A1604" t="s">
        <v>12545</v>
      </c>
      <c r="B1604" t="s">
        <v>12546</v>
      </c>
      <c r="C1604" t="s">
        <v>202</v>
      </c>
      <c r="E1604" t="s">
        <v>9906</v>
      </c>
      <c r="F1604">
        <v>4900</v>
      </c>
      <c r="G1604" t="s">
        <v>41</v>
      </c>
      <c r="H1604" t="s">
        <v>16</v>
      </c>
      <c r="I1604" t="s">
        <v>72</v>
      </c>
      <c r="J1604" t="s">
        <v>73</v>
      </c>
      <c r="K1604" t="s">
        <v>1809</v>
      </c>
      <c r="L1604" t="str">
        <f>HYPERLINK("https://business-monitor.ch/de/companies/1211115-gastroengel-gmbh?utm_source=oberaargau","PROFIL ANSEHEN")</f>
        <v>PROFIL ANSEHEN</v>
      </c>
    </row>
    <row r="1605" spans="1:12" x14ac:dyDescent="0.2">
      <c r="A1605" t="s">
        <v>13330</v>
      </c>
      <c r="B1605" t="s">
        <v>13331</v>
      </c>
      <c r="C1605" t="s">
        <v>1812</v>
      </c>
      <c r="E1605" t="s">
        <v>13332</v>
      </c>
      <c r="F1605">
        <v>3360</v>
      </c>
      <c r="G1605" t="s">
        <v>35</v>
      </c>
      <c r="H1605" t="s">
        <v>16</v>
      </c>
      <c r="I1605" t="s">
        <v>3864</v>
      </c>
      <c r="J1605" t="s">
        <v>3865</v>
      </c>
      <c r="K1605" t="s">
        <v>1809</v>
      </c>
      <c r="L1605" t="str">
        <f>HYPERLINK("https://business-monitor.ch/de/companies/1252063-oezlem-pamuk-creative?utm_source=oberaargau","PROFIL ANSEHEN")</f>
        <v>PROFIL ANSEHEN</v>
      </c>
    </row>
    <row r="1606" spans="1:12" x14ac:dyDescent="0.2">
      <c r="A1606" t="s">
        <v>11871</v>
      </c>
      <c r="B1606" t="s">
        <v>11872</v>
      </c>
      <c r="C1606" t="s">
        <v>1812</v>
      </c>
      <c r="E1606" t="s">
        <v>9435</v>
      </c>
      <c r="F1606">
        <v>4914</v>
      </c>
      <c r="G1606" t="s">
        <v>105</v>
      </c>
      <c r="H1606" t="s">
        <v>16</v>
      </c>
      <c r="I1606" t="s">
        <v>1855</v>
      </c>
      <c r="J1606" t="s">
        <v>1856</v>
      </c>
      <c r="K1606" t="s">
        <v>1809</v>
      </c>
      <c r="L1606" t="str">
        <f>HYPERLINK("https://business-monitor.ch/de/companies/1175848-schoenheitswaerchstatt-lara-scheidegger?utm_source=oberaargau","PROFIL ANSEHEN")</f>
        <v>PROFIL ANSEHEN</v>
      </c>
    </row>
    <row r="1607" spans="1:12" x14ac:dyDescent="0.2">
      <c r="A1607" t="s">
        <v>10732</v>
      </c>
      <c r="B1607" t="s">
        <v>10733</v>
      </c>
      <c r="C1607" t="s">
        <v>1812</v>
      </c>
      <c r="E1607" t="s">
        <v>10734</v>
      </c>
      <c r="F1607">
        <v>4704</v>
      </c>
      <c r="G1607" t="s">
        <v>221</v>
      </c>
      <c r="H1607" t="s">
        <v>16</v>
      </c>
      <c r="I1607" t="s">
        <v>4895</v>
      </c>
      <c r="J1607" t="s">
        <v>4896</v>
      </c>
      <c r="K1607" t="s">
        <v>1809</v>
      </c>
      <c r="L1607" t="str">
        <f>HYPERLINK("https://business-monitor.ch/de/companies/1098443-egger-gipsergeschaeft?utm_source=oberaargau","PROFIL ANSEHEN")</f>
        <v>PROFIL ANSEHEN</v>
      </c>
    </row>
    <row r="1608" spans="1:12" x14ac:dyDescent="0.2">
      <c r="A1608" t="s">
        <v>10150</v>
      </c>
      <c r="B1608" t="s">
        <v>10151</v>
      </c>
      <c r="C1608" t="s">
        <v>202</v>
      </c>
      <c r="E1608" t="s">
        <v>10152</v>
      </c>
      <c r="F1608">
        <v>3360</v>
      </c>
      <c r="G1608" t="s">
        <v>35</v>
      </c>
      <c r="H1608" t="s">
        <v>16</v>
      </c>
      <c r="I1608" t="s">
        <v>603</v>
      </c>
      <c r="J1608" t="s">
        <v>604</v>
      </c>
      <c r="K1608" t="s">
        <v>1809</v>
      </c>
      <c r="L1608" t="str">
        <f>HYPERLINK("https://business-monitor.ch/de/companies/651983-army-shop-herzogenbuchsee-gmbh?utm_source=oberaargau","PROFIL ANSEHEN")</f>
        <v>PROFIL ANSEHEN</v>
      </c>
    </row>
    <row r="1609" spans="1:12" x14ac:dyDescent="0.2">
      <c r="A1609" t="s">
        <v>5810</v>
      </c>
      <c r="B1609" t="s">
        <v>5811</v>
      </c>
      <c r="C1609" t="s">
        <v>84</v>
      </c>
      <c r="D1609" t="s">
        <v>5812</v>
      </c>
      <c r="E1609" t="s">
        <v>739</v>
      </c>
      <c r="F1609">
        <v>4923</v>
      </c>
      <c r="G1609" t="s">
        <v>732</v>
      </c>
      <c r="H1609" t="s">
        <v>16</v>
      </c>
      <c r="I1609" t="s">
        <v>906</v>
      </c>
      <c r="J1609" t="s">
        <v>907</v>
      </c>
      <c r="K1609" t="s">
        <v>1809</v>
      </c>
      <c r="L1609" t="str">
        <f>HYPERLINK("https://business-monitor.ch/de/companies/259092-genossenschaft-betreutes-wohnen-in-wynau?utm_source=oberaargau","PROFIL ANSEHEN")</f>
        <v>PROFIL ANSEHEN</v>
      </c>
    </row>
    <row r="1610" spans="1:12" x14ac:dyDescent="0.2">
      <c r="A1610" t="s">
        <v>11445</v>
      </c>
      <c r="B1610" t="s">
        <v>11446</v>
      </c>
      <c r="C1610" t="s">
        <v>202</v>
      </c>
      <c r="E1610" t="s">
        <v>4397</v>
      </c>
      <c r="F1610">
        <v>3362</v>
      </c>
      <c r="G1610" t="s">
        <v>47</v>
      </c>
      <c r="H1610" t="s">
        <v>16</v>
      </c>
      <c r="I1610" t="s">
        <v>4308</v>
      </c>
      <c r="J1610" t="s">
        <v>4309</v>
      </c>
      <c r="K1610" t="s">
        <v>1809</v>
      </c>
      <c r="L1610" t="str">
        <f>HYPERLINK("https://business-monitor.ch/de/companies/1139396-imbi-service-gmbh?utm_source=oberaargau","PROFIL ANSEHEN")</f>
        <v>PROFIL ANSEHEN</v>
      </c>
    </row>
    <row r="1611" spans="1:12" x14ac:dyDescent="0.2">
      <c r="A1611" t="s">
        <v>13306</v>
      </c>
      <c r="B1611" t="s">
        <v>13307</v>
      </c>
      <c r="C1611" t="s">
        <v>1812</v>
      </c>
      <c r="E1611" t="s">
        <v>7628</v>
      </c>
      <c r="F1611">
        <v>4922</v>
      </c>
      <c r="G1611" t="s">
        <v>1318</v>
      </c>
      <c r="H1611" t="s">
        <v>16</v>
      </c>
      <c r="I1611" t="s">
        <v>2549</v>
      </c>
      <c r="J1611" t="s">
        <v>2550</v>
      </c>
      <c r="K1611" t="s">
        <v>1809</v>
      </c>
      <c r="L1611" t="str">
        <f>HYPERLINK("https://business-monitor.ch/de/companies/1250792-taxi-sadaka?utm_source=oberaargau","PROFIL ANSEHEN")</f>
        <v>PROFIL ANSEHEN</v>
      </c>
    </row>
    <row r="1612" spans="1:12" x14ac:dyDescent="0.2">
      <c r="A1612" t="s">
        <v>7501</v>
      </c>
      <c r="B1612" t="s">
        <v>7502</v>
      </c>
      <c r="C1612" t="s">
        <v>202</v>
      </c>
      <c r="E1612" t="s">
        <v>7503</v>
      </c>
      <c r="F1612">
        <v>3360</v>
      </c>
      <c r="G1612" t="s">
        <v>35</v>
      </c>
      <c r="H1612" t="s">
        <v>16</v>
      </c>
      <c r="I1612" t="s">
        <v>551</v>
      </c>
      <c r="J1612" t="s">
        <v>552</v>
      </c>
      <c r="K1612" t="s">
        <v>1809</v>
      </c>
      <c r="L1612" t="str">
        <f>HYPERLINK("https://business-monitor.ch/de/companies/722098-bandello-gmbh?utm_source=oberaargau","PROFIL ANSEHEN")</f>
        <v>PROFIL ANSEHEN</v>
      </c>
    </row>
    <row r="1613" spans="1:12" x14ac:dyDescent="0.2">
      <c r="A1613" t="s">
        <v>7925</v>
      </c>
      <c r="B1613" t="s">
        <v>7926</v>
      </c>
      <c r="C1613" t="s">
        <v>1812</v>
      </c>
      <c r="E1613" t="s">
        <v>3055</v>
      </c>
      <c r="F1613">
        <v>4934</v>
      </c>
      <c r="G1613" t="s">
        <v>670</v>
      </c>
      <c r="H1613" t="s">
        <v>16</v>
      </c>
      <c r="I1613" t="s">
        <v>642</v>
      </c>
      <c r="J1613" t="s">
        <v>643</v>
      </c>
      <c r="K1613" t="s">
        <v>1809</v>
      </c>
      <c r="L1613" t="str">
        <f>HYPERLINK("https://business-monitor.ch/de/companies/145749-max-seiler?utm_source=oberaargau","PROFIL ANSEHEN")</f>
        <v>PROFIL ANSEHEN</v>
      </c>
    </row>
    <row r="1614" spans="1:12" x14ac:dyDescent="0.2">
      <c r="A1614" t="s">
        <v>7923</v>
      </c>
      <c r="B1614" t="s">
        <v>7924</v>
      </c>
      <c r="C1614" t="s">
        <v>13</v>
      </c>
      <c r="E1614" t="s">
        <v>4779</v>
      </c>
      <c r="F1614">
        <v>4937</v>
      </c>
      <c r="G1614" t="s">
        <v>951</v>
      </c>
      <c r="H1614" t="s">
        <v>16</v>
      </c>
      <c r="I1614" t="s">
        <v>662</v>
      </c>
      <c r="J1614" t="s">
        <v>663</v>
      </c>
      <c r="K1614" t="s">
        <v>1809</v>
      </c>
      <c r="L1614" t="str">
        <f>HYPERLINK("https://business-monitor.ch/de/companies/171631-p-graf-ag?utm_source=oberaargau","PROFIL ANSEHEN")</f>
        <v>PROFIL ANSEHEN</v>
      </c>
    </row>
    <row r="1615" spans="1:12" x14ac:dyDescent="0.2">
      <c r="A1615" t="s">
        <v>895</v>
      </c>
      <c r="B1615" t="s">
        <v>11304</v>
      </c>
      <c r="C1615" t="s">
        <v>13</v>
      </c>
      <c r="E1615" t="s">
        <v>7927</v>
      </c>
      <c r="F1615">
        <v>4537</v>
      </c>
      <c r="G1615" t="s">
        <v>113</v>
      </c>
      <c r="H1615" t="s">
        <v>16</v>
      </c>
      <c r="I1615" t="s">
        <v>1744</v>
      </c>
      <c r="J1615" t="s">
        <v>1745</v>
      </c>
      <c r="K1615" t="s">
        <v>1809</v>
      </c>
      <c r="L1615" t="str">
        <f>HYPERLINK("https://business-monitor.ch/de/companies/126314-duma-glas-ag?utm_source=oberaargau","PROFIL ANSEHEN")</f>
        <v>PROFIL ANSEHEN</v>
      </c>
    </row>
    <row r="1616" spans="1:12" x14ac:dyDescent="0.2">
      <c r="A1616" t="s">
        <v>5448</v>
      </c>
      <c r="B1616" t="s">
        <v>5449</v>
      </c>
      <c r="C1616" t="s">
        <v>1812</v>
      </c>
      <c r="E1616" t="s">
        <v>5450</v>
      </c>
      <c r="F1616">
        <v>4900</v>
      </c>
      <c r="G1616" t="s">
        <v>41</v>
      </c>
      <c r="H1616" t="s">
        <v>16</v>
      </c>
      <c r="I1616" t="s">
        <v>2555</v>
      </c>
      <c r="J1616" t="s">
        <v>2556</v>
      </c>
      <c r="K1616" t="s">
        <v>1809</v>
      </c>
      <c r="L1616" t="str">
        <f>HYPERLINK("https://business-monitor.ch/de/companies/209652-fernseh-spichiger?utm_source=oberaargau","PROFIL ANSEHEN")</f>
        <v>PROFIL ANSEHEN</v>
      </c>
    </row>
    <row r="1617" spans="1:12" x14ac:dyDescent="0.2">
      <c r="A1617" t="s">
        <v>2052</v>
      </c>
      <c r="B1617" t="s">
        <v>2340</v>
      </c>
      <c r="C1617" t="s">
        <v>13</v>
      </c>
      <c r="E1617" t="s">
        <v>2341</v>
      </c>
      <c r="F1617">
        <v>4900</v>
      </c>
      <c r="G1617" t="s">
        <v>41</v>
      </c>
      <c r="H1617" t="s">
        <v>16</v>
      </c>
      <c r="I1617" t="s">
        <v>260</v>
      </c>
      <c r="J1617" t="s">
        <v>261</v>
      </c>
      <c r="K1617" t="s">
        <v>1809</v>
      </c>
      <c r="L1617" t="str">
        <f>HYPERLINK("https://business-monitor.ch/de/companies/199077-ernst-nyffeler-architekten-ag?utm_source=oberaargau","PROFIL ANSEHEN")</f>
        <v>PROFIL ANSEHEN</v>
      </c>
    </row>
    <row r="1618" spans="1:12" x14ac:dyDescent="0.2">
      <c r="A1618" t="s">
        <v>1697</v>
      </c>
      <c r="B1618" t="s">
        <v>1698</v>
      </c>
      <c r="C1618" t="s">
        <v>202</v>
      </c>
      <c r="E1618" t="s">
        <v>1699</v>
      </c>
      <c r="F1618">
        <v>3360</v>
      </c>
      <c r="G1618" t="s">
        <v>35</v>
      </c>
      <c r="H1618" t="s">
        <v>16</v>
      </c>
      <c r="I1618" t="s">
        <v>1865</v>
      </c>
      <c r="J1618" t="s">
        <v>1866</v>
      </c>
      <c r="K1618" t="s">
        <v>1809</v>
      </c>
      <c r="L1618" t="str">
        <f>HYPERLINK("https://business-monitor.ch/de/companies/949392-limpio-gmbh?utm_source=oberaargau","PROFIL ANSEHEN")</f>
        <v>PROFIL ANSEHEN</v>
      </c>
    </row>
    <row r="1619" spans="1:12" x14ac:dyDescent="0.2">
      <c r="A1619" t="s">
        <v>9054</v>
      </c>
      <c r="B1619" t="s">
        <v>9055</v>
      </c>
      <c r="C1619" t="s">
        <v>1812</v>
      </c>
      <c r="E1619" t="s">
        <v>7758</v>
      </c>
      <c r="F1619">
        <v>4900</v>
      </c>
      <c r="G1619" t="s">
        <v>41</v>
      </c>
      <c r="H1619" t="s">
        <v>16</v>
      </c>
      <c r="I1619" t="s">
        <v>2555</v>
      </c>
      <c r="J1619" t="s">
        <v>2556</v>
      </c>
      <c r="K1619" t="s">
        <v>1809</v>
      </c>
      <c r="L1619" t="str">
        <f>HYPERLINK("https://business-monitor.ch/de/companies/197240-tv-studio-tanner?utm_source=oberaargau","PROFIL ANSEHEN")</f>
        <v>PROFIL ANSEHEN</v>
      </c>
    </row>
    <row r="1620" spans="1:12" x14ac:dyDescent="0.2">
      <c r="A1620" t="s">
        <v>13413</v>
      </c>
      <c r="B1620" t="s">
        <v>13414</v>
      </c>
      <c r="C1620" t="s">
        <v>1812</v>
      </c>
      <c r="E1620" t="s">
        <v>13415</v>
      </c>
      <c r="F1620">
        <v>4704</v>
      </c>
      <c r="G1620" t="s">
        <v>221</v>
      </c>
      <c r="H1620" t="s">
        <v>16</v>
      </c>
      <c r="I1620" t="s">
        <v>7350</v>
      </c>
      <c r="J1620" t="s">
        <v>7351</v>
      </c>
      <c r="K1620" t="s">
        <v>1809</v>
      </c>
      <c r="L1620" t="str">
        <f>HYPERLINK("https://business-monitor.ch/de/companies/1252303-cool-umzug-abohanan?utm_source=oberaargau","PROFIL ANSEHEN")</f>
        <v>PROFIL ANSEHEN</v>
      </c>
    </row>
    <row r="1621" spans="1:12" x14ac:dyDescent="0.2">
      <c r="A1621" t="s">
        <v>10042</v>
      </c>
      <c r="B1621" t="s">
        <v>10043</v>
      </c>
      <c r="C1621" t="s">
        <v>202</v>
      </c>
      <c r="E1621" t="s">
        <v>3791</v>
      </c>
      <c r="F1621">
        <v>4538</v>
      </c>
      <c r="G1621" t="s">
        <v>71</v>
      </c>
      <c r="H1621" t="s">
        <v>16</v>
      </c>
      <c r="I1621" t="s">
        <v>1097</v>
      </c>
      <c r="J1621" t="s">
        <v>1098</v>
      </c>
      <c r="K1621" t="s">
        <v>1809</v>
      </c>
      <c r="L1621" t="str">
        <f>HYPERLINK("https://business-monitor.ch/de/companies/702856-seelenhunde-ch-gmbh?utm_source=oberaargau","PROFIL ANSEHEN")</f>
        <v>PROFIL ANSEHEN</v>
      </c>
    </row>
    <row r="1622" spans="1:12" x14ac:dyDescent="0.2">
      <c r="A1622" t="s">
        <v>4025</v>
      </c>
      <c r="B1622" t="s">
        <v>4026</v>
      </c>
      <c r="C1622" t="s">
        <v>13</v>
      </c>
      <c r="E1622" t="s">
        <v>13493</v>
      </c>
      <c r="F1622">
        <v>4922</v>
      </c>
      <c r="G1622" t="s">
        <v>99</v>
      </c>
      <c r="H1622" t="s">
        <v>16</v>
      </c>
      <c r="I1622" t="s">
        <v>935</v>
      </c>
      <c r="J1622" t="s">
        <v>936</v>
      </c>
      <c r="K1622" t="s">
        <v>1809</v>
      </c>
      <c r="L1622" t="str">
        <f>HYPERLINK("https://business-monitor.ch/de/companies/528447-dimacasa-ag?utm_source=oberaargau","PROFIL ANSEHEN")</f>
        <v>PROFIL ANSEHEN</v>
      </c>
    </row>
    <row r="1623" spans="1:12" x14ac:dyDescent="0.2">
      <c r="A1623" t="s">
        <v>2173</v>
      </c>
      <c r="B1623" t="s">
        <v>2174</v>
      </c>
      <c r="C1623" t="s">
        <v>13</v>
      </c>
      <c r="E1623" t="s">
        <v>2175</v>
      </c>
      <c r="F1623">
        <v>3380</v>
      </c>
      <c r="G1623" t="s">
        <v>29</v>
      </c>
      <c r="H1623" t="s">
        <v>16</v>
      </c>
      <c r="I1623" t="s">
        <v>862</v>
      </c>
      <c r="J1623" t="s">
        <v>863</v>
      </c>
      <c r="K1623" t="s">
        <v>1809</v>
      </c>
      <c r="L1623" t="str">
        <f>HYPERLINK("https://business-monitor.ch/de/companies/294100-abc-druck-ag?utm_source=oberaargau","PROFIL ANSEHEN")</f>
        <v>PROFIL ANSEHEN</v>
      </c>
    </row>
    <row r="1624" spans="1:12" x14ac:dyDescent="0.2">
      <c r="A1624" t="s">
        <v>9292</v>
      </c>
      <c r="B1624" t="s">
        <v>9293</v>
      </c>
      <c r="C1624" t="s">
        <v>13</v>
      </c>
      <c r="E1624" t="s">
        <v>1190</v>
      </c>
      <c r="F1624">
        <v>4900</v>
      </c>
      <c r="G1624" t="s">
        <v>41</v>
      </c>
      <c r="H1624" t="s">
        <v>16</v>
      </c>
      <c r="I1624" t="s">
        <v>24</v>
      </c>
      <c r="J1624" t="s">
        <v>25</v>
      </c>
      <c r="K1624" t="s">
        <v>1809</v>
      </c>
      <c r="L1624" t="str">
        <f>HYPERLINK("https://business-monitor.ch/de/companies/99547-personal-soft-ag?utm_source=oberaargau","PROFIL ANSEHEN")</f>
        <v>PROFIL ANSEHEN</v>
      </c>
    </row>
    <row r="1625" spans="1:12" x14ac:dyDescent="0.2">
      <c r="A1625" t="s">
        <v>13596</v>
      </c>
      <c r="B1625" t="s">
        <v>13597</v>
      </c>
      <c r="C1625" t="s">
        <v>202</v>
      </c>
      <c r="E1625" t="s">
        <v>13598</v>
      </c>
      <c r="F1625">
        <v>4900</v>
      </c>
      <c r="G1625" t="s">
        <v>41</v>
      </c>
      <c r="H1625" t="s">
        <v>16</v>
      </c>
      <c r="I1625" t="s">
        <v>824</v>
      </c>
      <c r="J1625" t="s">
        <v>825</v>
      </c>
      <c r="K1625" t="s">
        <v>1809</v>
      </c>
      <c r="L1625" t="str">
        <f>HYPERLINK("https://business-monitor.ch/de/companies/1151245-deno-s-pizza-gmbh?utm_source=oberaargau","PROFIL ANSEHEN")</f>
        <v>PROFIL ANSEHEN</v>
      </c>
    </row>
    <row r="1626" spans="1:12" x14ac:dyDescent="0.2">
      <c r="A1626" t="s">
        <v>9626</v>
      </c>
      <c r="B1626" t="s">
        <v>9627</v>
      </c>
      <c r="C1626" t="s">
        <v>202</v>
      </c>
      <c r="E1626" t="s">
        <v>3190</v>
      </c>
      <c r="F1626">
        <v>4900</v>
      </c>
      <c r="G1626" t="s">
        <v>41</v>
      </c>
      <c r="H1626" t="s">
        <v>16</v>
      </c>
      <c r="I1626" t="s">
        <v>232</v>
      </c>
      <c r="J1626" t="s">
        <v>233</v>
      </c>
      <c r="K1626" t="s">
        <v>1809</v>
      </c>
      <c r="L1626" t="str">
        <f>HYPERLINK("https://business-monitor.ch/de/companies/943997-clavatax-steuerberatungs-gmbh?utm_source=oberaargau","PROFIL ANSEHEN")</f>
        <v>PROFIL ANSEHEN</v>
      </c>
    </row>
    <row r="1627" spans="1:12" x14ac:dyDescent="0.2">
      <c r="A1627" t="s">
        <v>4628</v>
      </c>
      <c r="B1627" t="s">
        <v>4629</v>
      </c>
      <c r="C1627" t="s">
        <v>202</v>
      </c>
      <c r="E1627" t="s">
        <v>4630</v>
      </c>
      <c r="F1627">
        <v>3360</v>
      </c>
      <c r="G1627" t="s">
        <v>35</v>
      </c>
      <c r="H1627" t="s">
        <v>16</v>
      </c>
      <c r="I1627" t="s">
        <v>2569</v>
      </c>
      <c r="J1627" t="s">
        <v>2570</v>
      </c>
      <c r="K1627" t="s">
        <v>1809</v>
      </c>
      <c r="L1627" t="str">
        <f>HYPERLINK("https://business-monitor.ch/de/companies/630321-winebarrel-gmbh?utm_source=oberaargau","PROFIL ANSEHEN")</f>
        <v>PROFIL ANSEHEN</v>
      </c>
    </row>
    <row r="1628" spans="1:12" x14ac:dyDescent="0.2">
      <c r="A1628" t="s">
        <v>6876</v>
      </c>
      <c r="B1628" t="s">
        <v>6877</v>
      </c>
      <c r="C1628" t="s">
        <v>202</v>
      </c>
      <c r="E1628" t="s">
        <v>6878</v>
      </c>
      <c r="F1628">
        <v>4912</v>
      </c>
      <c r="G1628" t="s">
        <v>64</v>
      </c>
      <c r="H1628" t="s">
        <v>16</v>
      </c>
      <c r="I1628" t="s">
        <v>935</v>
      </c>
      <c r="J1628" t="s">
        <v>936</v>
      </c>
      <c r="K1628" t="s">
        <v>1809</v>
      </c>
      <c r="L1628" t="str">
        <f>HYPERLINK("https://business-monitor.ch/de/companies/32210-hofmatt-gmbh?utm_source=oberaargau","PROFIL ANSEHEN")</f>
        <v>PROFIL ANSEHEN</v>
      </c>
    </row>
    <row r="1629" spans="1:12" x14ac:dyDescent="0.2">
      <c r="A1629" t="s">
        <v>5009</v>
      </c>
      <c r="B1629" t="s">
        <v>5010</v>
      </c>
      <c r="C1629" t="s">
        <v>2178</v>
      </c>
      <c r="E1629" t="s">
        <v>1341</v>
      </c>
      <c r="F1629">
        <v>4900</v>
      </c>
      <c r="G1629" t="s">
        <v>41</v>
      </c>
      <c r="H1629" t="s">
        <v>16</v>
      </c>
      <c r="I1629" t="s">
        <v>232</v>
      </c>
      <c r="J1629" t="s">
        <v>233</v>
      </c>
      <c r="K1629" t="s">
        <v>1809</v>
      </c>
      <c r="L1629" t="str">
        <f>HYPERLINK("https://business-monitor.ch/de/companies/5771-bdo-ag?utm_source=oberaargau","PROFIL ANSEHEN")</f>
        <v>PROFIL ANSEHEN</v>
      </c>
    </row>
    <row r="1630" spans="1:12" x14ac:dyDescent="0.2">
      <c r="A1630" t="s">
        <v>3599</v>
      </c>
      <c r="B1630" t="s">
        <v>3600</v>
      </c>
      <c r="C1630" t="s">
        <v>1827</v>
      </c>
      <c r="E1630" t="s">
        <v>3601</v>
      </c>
      <c r="F1630">
        <v>4938</v>
      </c>
      <c r="G1630" t="s">
        <v>618</v>
      </c>
      <c r="H1630" t="s">
        <v>16</v>
      </c>
      <c r="I1630" t="s">
        <v>2587</v>
      </c>
      <c r="J1630" t="s">
        <v>2588</v>
      </c>
      <c r="K1630" t="s">
        <v>1809</v>
      </c>
      <c r="L1630" t="str">
        <f>HYPERLINK("https://business-monitor.ch/de/companies/100005-herrmann-co-heryco?utm_source=oberaargau","PROFIL ANSEHEN")</f>
        <v>PROFIL ANSEHEN</v>
      </c>
    </row>
    <row r="1631" spans="1:12" x14ac:dyDescent="0.2">
      <c r="A1631" t="s">
        <v>9214</v>
      </c>
      <c r="B1631" t="s">
        <v>14352</v>
      </c>
      <c r="C1631" t="s">
        <v>13</v>
      </c>
      <c r="E1631" t="s">
        <v>9215</v>
      </c>
      <c r="F1631">
        <v>4923</v>
      </c>
      <c r="G1631" t="s">
        <v>732</v>
      </c>
      <c r="H1631" t="s">
        <v>16</v>
      </c>
      <c r="I1631" t="s">
        <v>1766</v>
      </c>
      <c r="J1631" t="s">
        <v>1767</v>
      </c>
      <c r="K1631" t="s">
        <v>1809</v>
      </c>
      <c r="L1631" t="str">
        <f>HYPERLINK("https://business-monitor.ch/de/companies/138311-mantrailing-mittelland-ag?utm_source=oberaargau","PROFIL ANSEHEN")</f>
        <v>PROFIL ANSEHEN</v>
      </c>
    </row>
    <row r="1632" spans="1:12" x14ac:dyDescent="0.2">
      <c r="A1632" t="s">
        <v>2060</v>
      </c>
      <c r="B1632" t="s">
        <v>2061</v>
      </c>
      <c r="C1632" t="s">
        <v>1812</v>
      </c>
      <c r="F1632">
        <v>4937</v>
      </c>
      <c r="G1632" t="s">
        <v>951</v>
      </c>
      <c r="H1632" t="s">
        <v>16</v>
      </c>
      <c r="I1632" t="s">
        <v>2062</v>
      </c>
      <c r="J1632" t="s">
        <v>2063</v>
      </c>
      <c r="K1632" t="s">
        <v>1809</v>
      </c>
      <c r="L1632" t="str">
        <f>HYPERLINK("https://business-monitor.ch/de/companies/171634-th-seiler-fuhrer?utm_source=oberaargau","PROFIL ANSEHEN")</f>
        <v>PROFIL ANSEHEN</v>
      </c>
    </row>
    <row r="1633" spans="1:12" x14ac:dyDescent="0.2">
      <c r="A1633" t="s">
        <v>3743</v>
      </c>
      <c r="B1633" t="s">
        <v>3744</v>
      </c>
      <c r="C1633" t="s">
        <v>13</v>
      </c>
      <c r="E1633" t="s">
        <v>3745</v>
      </c>
      <c r="F1633">
        <v>4914</v>
      </c>
      <c r="G1633" t="s">
        <v>105</v>
      </c>
      <c r="H1633" t="s">
        <v>16</v>
      </c>
      <c r="I1633" t="s">
        <v>3746</v>
      </c>
      <c r="J1633" t="s">
        <v>3747</v>
      </c>
      <c r="K1633" t="s">
        <v>1809</v>
      </c>
      <c r="L1633" t="str">
        <f>HYPERLINK("https://business-monitor.ch/de/companies/172323-walther-troesch-informis-ag?utm_source=oberaargau","PROFIL ANSEHEN")</f>
        <v>PROFIL ANSEHEN</v>
      </c>
    </row>
    <row r="1634" spans="1:12" x14ac:dyDescent="0.2">
      <c r="A1634" t="s">
        <v>8162</v>
      </c>
      <c r="B1634" t="s">
        <v>8163</v>
      </c>
      <c r="C1634" t="s">
        <v>1812</v>
      </c>
      <c r="E1634" t="s">
        <v>14471</v>
      </c>
      <c r="F1634">
        <v>3362</v>
      </c>
      <c r="G1634" t="s">
        <v>47</v>
      </c>
      <c r="H1634" t="s">
        <v>16</v>
      </c>
      <c r="I1634" t="s">
        <v>1104</v>
      </c>
      <c r="J1634" t="s">
        <v>1105</v>
      </c>
      <c r="K1634" t="s">
        <v>1809</v>
      </c>
      <c r="L1634" t="str">
        <f>HYPERLINK("https://business-monitor.ch/de/companies/173992-muehle-hosner-nachf-werner-hosner?utm_source=oberaargau","PROFIL ANSEHEN")</f>
        <v>PROFIL ANSEHEN</v>
      </c>
    </row>
    <row r="1635" spans="1:12" x14ac:dyDescent="0.2">
      <c r="A1635" t="s">
        <v>12141</v>
      </c>
      <c r="B1635" t="s">
        <v>12142</v>
      </c>
      <c r="C1635" t="s">
        <v>202</v>
      </c>
      <c r="E1635" t="s">
        <v>12143</v>
      </c>
      <c r="F1635">
        <v>4952</v>
      </c>
      <c r="G1635" t="s">
        <v>474</v>
      </c>
      <c r="H1635" t="s">
        <v>16</v>
      </c>
      <c r="I1635" t="s">
        <v>167</v>
      </c>
      <c r="J1635" t="s">
        <v>168</v>
      </c>
      <c r="K1635" t="s">
        <v>1809</v>
      </c>
      <c r="L1635" t="str">
        <f>HYPERLINK("https://business-monitor.ch/de/companies/1130054-s-z-bauwerk-gmbh?utm_source=oberaargau","PROFIL ANSEHEN")</f>
        <v>PROFIL ANSEHEN</v>
      </c>
    </row>
    <row r="1636" spans="1:12" x14ac:dyDescent="0.2">
      <c r="A1636" t="s">
        <v>11728</v>
      </c>
      <c r="B1636" t="s">
        <v>11729</v>
      </c>
      <c r="C1636" t="s">
        <v>202</v>
      </c>
      <c r="E1636" t="s">
        <v>2267</v>
      </c>
      <c r="F1636">
        <v>3368</v>
      </c>
      <c r="G1636" t="s">
        <v>308</v>
      </c>
      <c r="H1636" t="s">
        <v>16</v>
      </c>
      <c r="I1636" t="s">
        <v>824</v>
      </c>
      <c r="J1636" t="s">
        <v>825</v>
      </c>
      <c r="K1636" t="s">
        <v>1809</v>
      </c>
      <c r="L1636" t="str">
        <f>HYPERLINK("https://business-monitor.ch/de/companies/1161242-restaurant-kreuz-bleienbach-gmbh?utm_source=oberaargau","PROFIL ANSEHEN")</f>
        <v>PROFIL ANSEHEN</v>
      </c>
    </row>
    <row r="1637" spans="1:12" x14ac:dyDescent="0.2">
      <c r="A1637" t="s">
        <v>5415</v>
      </c>
      <c r="B1637" t="s">
        <v>5416</v>
      </c>
      <c r="C1637" t="s">
        <v>13</v>
      </c>
      <c r="D1637" t="s">
        <v>5417</v>
      </c>
      <c r="E1637" t="s">
        <v>1525</v>
      </c>
      <c r="F1637">
        <v>4900</v>
      </c>
      <c r="G1637" t="s">
        <v>41</v>
      </c>
      <c r="H1637" t="s">
        <v>16</v>
      </c>
      <c r="I1637" t="s">
        <v>186</v>
      </c>
      <c r="J1637" t="s">
        <v>187</v>
      </c>
      <c r="K1637" t="s">
        <v>1809</v>
      </c>
      <c r="L1637" t="str">
        <f>HYPERLINK("https://business-monitor.ch/de/companies/260579-ub-holding-langenthal-ag?utm_source=oberaargau","PROFIL ANSEHEN")</f>
        <v>PROFIL ANSEHEN</v>
      </c>
    </row>
    <row r="1638" spans="1:12" x14ac:dyDescent="0.2">
      <c r="A1638" t="s">
        <v>5409</v>
      </c>
      <c r="B1638" t="s">
        <v>5410</v>
      </c>
      <c r="C1638" t="s">
        <v>1812</v>
      </c>
      <c r="E1638" t="s">
        <v>5411</v>
      </c>
      <c r="F1638">
        <v>4537</v>
      </c>
      <c r="G1638" t="s">
        <v>113</v>
      </c>
      <c r="H1638" t="s">
        <v>16</v>
      </c>
      <c r="I1638" t="s">
        <v>232</v>
      </c>
      <c r="J1638" t="s">
        <v>233</v>
      </c>
      <c r="K1638" t="s">
        <v>1809</v>
      </c>
      <c r="L1638" t="str">
        <f>HYPERLINK("https://business-monitor.ch/de/companies/261733-kfocus-rene-vock?utm_source=oberaargau","PROFIL ANSEHEN")</f>
        <v>PROFIL ANSEHEN</v>
      </c>
    </row>
    <row r="1639" spans="1:12" x14ac:dyDescent="0.2">
      <c r="A1639" t="s">
        <v>4807</v>
      </c>
      <c r="B1639" t="s">
        <v>4808</v>
      </c>
      <c r="C1639" t="s">
        <v>202</v>
      </c>
      <c r="E1639" t="s">
        <v>10830</v>
      </c>
      <c r="F1639">
        <v>4900</v>
      </c>
      <c r="G1639" t="s">
        <v>41</v>
      </c>
      <c r="H1639" t="s">
        <v>16</v>
      </c>
      <c r="I1639" t="s">
        <v>3344</v>
      </c>
      <c r="J1639" t="s">
        <v>3345</v>
      </c>
      <c r="K1639" t="s">
        <v>1809</v>
      </c>
      <c r="L1639" t="str">
        <f>HYPERLINK("https://business-monitor.ch/de/companies/553768-spitex-60plus-gmbh?utm_source=oberaargau","PROFIL ANSEHEN")</f>
        <v>PROFIL ANSEHEN</v>
      </c>
    </row>
    <row r="1640" spans="1:12" x14ac:dyDescent="0.2">
      <c r="A1640" t="s">
        <v>6377</v>
      </c>
      <c r="B1640" t="s">
        <v>6378</v>
      </c>
      <c r="C1640" t="s">
        <v>202</v>
      </c>
      <c r="E1640" t="s">
        <v>6379</v>
      </c>
      <c r="F1640">
        <v>4900</v>
      </c>
      <c r="G1640" t="s">
        <v>41</v>
      </c>
      <c r="H1640" t="s">
        <v>16</v>
      </c>
      <c r="I1640" t="s">
        <v>1267</v>
      </c>
      <c r="J1640" t="s">
        <v>1268</v>
      </c>
      <c r="K1640" t="s">
        <v>1809</v>
      </c>
      <c r="L1640" t="str">
        <f>HYPERLINK("https://business-monitor.ch/de/companies/306360-beta-markt-gmbh?utm_source=oberaargau","PROFIL ANSEHEN")</f>
        <v>PROFIL ANSEHEN</v>
      </c>
    </row>
    <row r="1641" spans="1:12" x14ac:dyDescent="0.2">
      <c r="A1641" t="s">
        <v>10131</v>
      </c>
      <c r="B1641" t="s">
        <v>10132</v>
      </c>
      <c r="C1641" t="s">
        <v>1812</v>
      </c>
      <c r="E1641" t="s">
        <v>10133</v>
      </c>
      <c r="F1641">
        <v>4954</v>
      </c>
      <c r="G1641" t="s">
        <v>359</v>
      </c>
      <c r="H1641" t="s">
        <v>16</v>
      </c>
      <c r="I1641" t="s">
        <v>781</v>
      </c>
      <c r="J1641" t="s">
        <v>782</v>
      </c>
      <c r="K1641" t="s">
        <v>1809</v>
      </c>
      <c r="L1641" t="str">
        <f>HYPERLINK("https://business-monitor.ch/de/companies/658040-juerg-ledermann-mechanische-werkstatt?utm_source=oberaargau","PROFIL ANSEHEN")</f>
        <v>PROFIL ANSEHEN</v>
      </c>
    </row>
    <row r="1642" spans="1:12" x14ac:dyDescent="0.2">
      <c r="A1642" t="s">
        <v>6831</v>
      </c>
      <c r="B1642" t="s">
        <v>6832</v>
      </c>
      <c r="C1642" t="s">
        <v>13</v>
      </c>
      <c r="E1642" t="s">
        <v>11524</v>
      </c>
      <c r="F1642">
        <v>4900</v>
      </c>
      <c r="G1642" t="s">
        <v>41</v>
      </c>
      <c r="H1642" t="s">
        <v>16</v>
      </c>
      <c r="I1642" t="s">
        <v>824</v>
      </c>
      <c r="J1642" t="s">
        <v>825</v>
      </c>
      <c r="K1642" t="s">
        <v>1809</v>
      </c>
      <c r="L1642" t="str">
        <f>HYPERLINK("https://business-monitor.ch/de/companies/66080-winn-fat-ag?utm_source=oberaargau","PROFIL ANSEHEN")</f>
        <v>PROFIL ANSEHEN</v>
      </c>
    </row>
    <row r="1643" spans="1:12" x14ac:dyDescent="0.2">
      <c r="A1643" t="s">
        <v>2941</v>
      </c>
      <c r="B1643" t="s">
        <v>2942</v>
      </c>
      <c r="C1643" t="s">
        <v>1827</v>
      </c>
      <c r="E1643" t="s">
        <v>2943</v>
      </c>
      <c r="F1643">
        <v>4917</v>
      </c>
      <c r="G1643" t="s">
        <v>376</v>
      </c>
      <c r="H1643" t="s">
        <v>16</v>
      </c>
      <c r="I1643" t="s">
        <v>2587</v>
      </c>
      <c r="J1643" t="s">
        <v>2588</v>
      </c>
      <c r="K1643" t="s">
        <v>1809</v>
      </c>
      <c r="L1643" t="str">
        <f>HYPERLINK("https://business-monitor.ch/de/companies/377182-druckknopfgalerie-zech-saurer-co?utm_source=oberaargau","PROFIL ANSEHEN")</f>
        <v>PROFIL ANSEHEN</v>
      </c>
    </row>
    <row r="1644" spans="1:12" x14ac:dyDescent="0.2">
      <c r="A1644" t="s">
        <v>3059</v>
      </c>
      <c r="B1644" t="s">
        <v>3060</v>
      </c>
      <c r="C1644" t="s">
        <v>13</v>
      </c>
      <c r="D1644" t="s">
        <v>3061</v>
      </c>
      <c r="E1644" t="s">
        <v>3062</v>
      </c>
      <c r="F1644">
        <v>3365</v>
      </c>
      <c r="G1644" t="s">
        <v>1008</v>
      </c>
      <c r="H1644" t="s">
        <v>16</v>
      </c>
      <c r="I1644" t="s">
        <v>2640</v>
      </c>
      <c r="J1644" t="s">
        <v>2641</v>
      </c>
      <c r="K1644" t="s">
        <v>1809</v>
      </c>
      <c r="L1644" t="str">
        <f>HYPERLINK("https://business-monitor.ch/de/companies/343565-presento-ag?utm_source=oberaargau","PROFIL ANSEHEN")</f>
        <v>PROFIL ANSEHEN</v>
      </c>
    </row>
    <row r="1645" spans="1:12" x14ac:dyDescent="0.2">
      <c r="A1645" t="s">
        <v>11776</v>
      </c>
      <c r="B1645" t="s">
        <v>11777</v>
      </c>
      <c r="C1645" t="s">
        <v>202</v>
      </c>
      <c r="E1645" t="s">
        <v>3166</v>
      </c>
      <c r="F1645">
        <v>4900</v>
      </c>
      <c r="G1645" t="s">
        <v>41</v>
      </c>
      <c r="H1645" t="s">
        <v>16</v>
      </c>
      <c r="I1645" t="s">
        <v>824</v>
      </c>
      <c r="J1645" t="s">
        <v>825</v>
      </c>
      <c r="K1645" t="s">
        <v>1809</v>
      </c>
      <c r="L1645" t="str">
        <f>HYPERLINK("https://business-monitor.ch/de/companies/1162601-gastro-langenthal-gmbh?utm_source=oberaargau","PROFIL ANSEHEN")</f>
        <v>PROFIL ANSEHEN</v>
      </c>
    </row>
    <row r="1646" spans="1:12" x14ac:dyDescent="0.2">
      <c r="A1646" t="s">
        <v>10589</v>
      </c>
      <c r="B1646" t="s">
        <v>10590</v>
      </c>
      <c r="C1646" t="s">
        <v>13</v>
      </c>
      <c r="D1646" t="s">
        <v>10591</v>
      </c>
      <c r="E1646" t="s">
        <v>1790</v>
      </c>
      <c r="F1646">
        <v>4537</v>
      </c>
      <c r="G1646" t="s">
        <v>113</v>
      </c>
      <c r="H1646" t="s">
        <v>16</v>
      </c>
      <c r="I1646" t="s">
        <v>186</v>
      </c>
      <c r="J1646" t="s">
        <v>187</v>
      </c>
      <c r="K1646" t="s">
        <v>1809</v>
      </c>
      <c r="L1646" t="str">
        <f>HYPERLINK("https://business-monitor.ch/de/companies/439294-schneider-galvano-holding-ag?utm_source=oberaargau","PROFIL ANSEHEN")</f>
        <v>PROFIL ANSEHEN</v>
      </c>
    </row>
    <row r="1647" spans="1:12" x14ac:dyDescent="0.2">
      <c r="A1647" t="s">
        <v>5284</v>
      </c>
      <c r="B1647" t="s">
        <v>5285</v>
      </c>
      <c r="C1647" t="s">
        <v>13</v>
      </c>
      <c r="E1647" t="s">
        <v>5286</v>
      </c>
      <c r="F1647">
        <v>4932</v>
      </c>
      <c r="G1647" t="s">
        <v>325</v>
      </c>
      <c r="H1647" t="s">
        <v>16</v>
      </c>
      <c r="I1647" t="s">
        <v>788</v>
      </c>
      <c r="J1647" t="s">
        <v>789</v>
      </c>
      <c r="K1647" t="s">
        <v>1809</v>
      </c>
      <c r="L1647" t="str">
        <f>HYPERLINK("https://business-monitor.ch/de/companies/328086-swiss-schneestopp-ag?utm_source=oberaargau","PROFIL ANSEHEN")</f>
        <v>PROFIL ANSEHEN</v>
      </c>
    </row>
    <row r="1648" spans="1:12" x14ac:dyDescent="0.2">
      <c r="A1648" t="s">
        <v>8690</v>
      </c>
      <c r="B1648" t="s">
        <v>8691</v>
      </c>
      <c r="C1648" t="s">
        <v>1812</v>
      </c>
      <c r="E1648" t="s">
        <v>3922</v>
      </c>
      <c r="F1648">
        <v>4537</v>
      </c>
      <c r="G1648" t="s">
        <v>113</v>
      </c>
      <c r="H1648" t="s">
        <v>16</v>
      </c>
      <c r="I1648" t="s">
        <v>475</v>
      </c>
      <c r="J1648" t="s">
        <v>476</v>
      </c>
      <c r="K1648" t="s">
        <v>1809</v>
      </c>
      <c r="L1648" t="str">
        <f>HYPERLINK("https://business-monitor.ch/de/companies/409643-eupico-schweiz-burda?utm_source=oberaargau","PROFIL ANSEHEN")</f>
        <v>PROFIL ANSEHEN</v>
      </c>
    </row>
    <row r="1649" spans="1:12" x14ac:dyDescent="0.2">
      <c r="A1649" t="s">
        <v>6673</v>
      </c>
      <c r="B1649" t="s">
        <v>6674</v>
      </c>
      <c r="C1649" t="s">
        <v>13</v>
      </c>
      <c r="F1649">
        <v>3363</v>
      </c>
      <c r="G1649" t="s">
        <v>1367</v>
      </c>
      <c r="H1649" t="s">
        <v>16</v>
      </c>
      <c r="I1649" t="s">
        <v>5245</v>
      </c>
      <c r="J1649" t="s">
        <v>5246</v>
      </c>
      <c r="K1649" t="s">
        <v>1809</v>
      </c>
      <c r="L1649" t="str">
        <f>HYPERLINK("https://business-monitor.ch/de/companies/173521-marti-inneneinrichtungen-ag?utm_source=oberaargau","PROFIL ANSEHEN")</f>
        <v>PROFIL ANSEHEN</v>
      </c>
    </row>
    <row r="1650" spans="1:12" x14ac:dyDescent="0.2">
      <c r="A1650" t="s">
        <v>9457</v>
      </c>
      <c r="B1650" t="s">
        <v>9458</v>
      </c>
      <c r="C1650" t="s">
        <v>202</v>
      </c>
      <c r="E1650" t="s">
        <v>9459</v>
      </c>
      <c r="F1650">
        <v>4924</v>
      </c>
      <c r="G1650" t="s">
        <v>3727</v>
      </c>
      <c r="H1650" t="s">
        <v>16</v>
      </c>
      <c r="I1650" t="s">
        <v>331</v>
      </c>
      <c r="J1650" t="s">
        <v>332</v>
      </c>
      <c r="K1650" t="s">
        <v>1809</v>
      </c>
      <c r="L1650" t="str">
        <f>HYPERLINK("https://business-monitor.ch/de/companies/384151-ms-mechanik-gmbh?utm_source=oberaargau","PROFIL ANSEHEN")</f>
        <v>PROFIL ANSEHEN</v>
      </c>
    </row>
    <row r="1651" spans="1:12" x14ac:dyDescent="0.2">
      <c r="A1651" t="s">
        <v>2891</v>
      </c>
      <c r="B1651" t="s">
        <v>2892</v>
      </c>
      <c r="C1651" t="s">
        <v>202</v>
      </c>
      <c r="E1651" t="s">
        <v>9642</v>
      </c>
      <c r="F1651">
        <v>4900</v>
      </c>
      <c r="G1651" t="s">
        <v>41</v>
      </c>
      <c r="H1651" t="s">
        <v>16</v>
      </c>
      <c r="I1651" t="s">
        <v>1661</v>
      </c>
      <c r="J1651" t="s">
        <v>1662</v>
      </c>
      <c r="K1651" t="s">
        <v>1809</v>
      </c>
      <c r="L1651" t="str">
        <f>HYPERLINK("https://business-monitor.ch/de/companies/397628-print-finishing-solutions-services-gmbh?utm_source=oberaargau","PROFIL ANSEHEN")</f>
        <v>PROFIL ANSEHEN</v>
      </c>
    </row>
    <row r="1652" spans="1:12" x14ac:dyDescent="0.2">
      <c r="A1652" t="s">
        <v>10481</v>
      </c>
      <c r="B1652" t="s">
        <v>10482</v>
      </c>
      <c r="C1652" t="s">
        <v>1812</v>
      </c>
      <c r="E1652" t="s">
        <v>12508</v>
      </c>
      <c r="F1652">
        <v>4536</v>
      </c>
      <c r="G1652" t="s">
        <v>1395</v>
      </c>
      <c r="H1652" t="s">
        <v>16</v>
      </c>
      <c r="I1652" t="s">
        <v>3861</v>
      </c>
      <c r="J1652" t="s">
        <v>3862</v>
      </c>
      <c r="K1652" t="s">
        <v>1809</v>
      </c>
      <c r="L1652" t="str">
        <f>HYPERLINK("https://business-monitor.ch/de/companies/990156-amalama-tanja-burkolter?utm_source=oberaargau","PROFIL ANSEHEN")</f>
        <v>PROFIL ANSEHEN</v>
      </c>
    </row>
    <row r="1653" spans="1:12" x14ac:dyDescent="0.2">
      <c r="A1653" t="s">
        <v>2703</v>
      </c>
      <c r="B1653" t="s">
        <v>2704</v>
      </c>
      <c r="C1653" t="s">
        <v>13</v>
      </c>
      <c r="E1653" t="s">
        <v>2705</v>
      </c>
      <c r="F1653">
        <v>4900</v>
      </c>
      <c r="G1653" t="s">
        <v>41</v>
      </c>
      <c r="H1653" t="s">
        <v>16</v>
      </c>
      <c r="I1653" t="s">
        <v>2706</v>
      </c>
      <c r="J1653" t="s">
        <v>2707</v>
      </c>
      <c r="K1653" t="s">
        <v>1809</v>
      </c>
      <c r="L1653" t="str">
        <f>HYPERLINK("https://business-monitor.ch/de/companies/465807-dance-center-langenthal-ag?utm_source=oberaargau","PROFIL ANSEHEN")</f>
        <v>PROFIL ANSEHEN</v>
      </c>
    </row>
    <row r="1654" spans="1:12" x14ac:dyDescent="0.2">
      <c r="A1654" t="s">
        <v>5631</v>
      </c>
      <c r="B1654" t="s">
        <v>5632</v>
      </c>
      <c r="C1654" t="s">
        <v>1812</v>
      </c>
      <c r="E1654" t="s">
        <v>5633</v>
      </c>
      <c r="F1654">
        <v>3380</v>
      </c>
      <c r="G1654" t="s">
        <v>29</v>
      </c>
      <c r="H1654" t="s">
        <v>16</v>
      </c>
      <c r="I1654" t="s">
        <v>4171</v>
      </c>
      <c r="J1654" t="s">
        <v>4172</v>
      </c>
      <c r="K1654" t="s">
        <v>1809</v>
      </c>
      <c r="L1654" t="str">
        <f>HYPERLINK("https://business-monitor.ch/de/companies/461718-flueckiger-baumaschinenvermietung?utm_source=oberaargau","PROFIL ANSEHEN")</f>
        <v>PROFIL ANSEHEN</v>
      </c>
    </row>
    <row r="1655" spans="1:12" x14ac:dyDescent="0.2">
      <c r="A1655" t="s">
        <v>8564</v>
      </c>
      <c r="B1655" t="s">
        <v>8565</v>
      </c>
      <c r="C1655" t="s">
        <v>202</v>
      </c>
      <c r="E1655" t="s">
        <v>1187</v>
      </c>
      <c r="F1655">
        <v>4538</v>
      </c>
      <c r="G1655" t="s">
        <v>71</v>
      </c>
      <c r="H1655" t="s">
        <v>16</v>
      </c>
      <c r="I1655" t="s">
        <v>679</v>
      </c>
      <c r="J1655" t="s">
        <v>680</v>
      </c>
      <c r="K1655" t="s">
        <v>1809</v>
      </c>
      <c r="L1655" t="str">
        <f>HYPERLINK("https://business-monitor.ch/de/companies/483782-schreinerei-brudermann-gmbh?utm_source=oberaargau","PROFIL ANSEHEN")</f>
        <v>PROFIL ANSEHEN</v>
      </c>
    </row>
    <row r="1656" spans="1:12" x14ac:dyDescent="0.2">
      <c r="A1656" t="s">
        <v>11264</v>
      </c>
      <c r="B1656" t="s">
        <v>11265</v>
      </c>
      <c r="C1656" t="s">
        <v>202</v>
      </c>
      <c r="E1656" t="s">
        <v>6125</v>
      </c>
      <c r="F1656">
        <v>4704</v>
      </c>
      <c r="G1656" t="s">
        <v>221</v>
      </c>
      <c r="H1656" t="s">
        <v>16</v>
      </c>
      <c r="I1656" t="s">
        <v>4039</v>
      </c>
      <c r="J1656" t="s">
        <v>4040</v>
      </c>
      <c r="K1656" t="s">
        <v>1809</v>
      </c>
      <c r="L1656" t="str">
        <f>HYPERLINK("https://business-monitor.ch/de/companies/1134544-aura-fitness-dt-gmbh?utm_source=oberaargau","PROFIL ANSEHEN")</f>
        <v>PROFIL ANSEHEN</v>
      </c>
    </row>
    <row r="1657" spans="1:12" x14ac:dyDescent="0.2">
      <c r="A1657" t="s">
        <v>6684</v>
      </c>
      <c r="B1657" t="s">
        <v>6685</v>
      </c>
      <c r="C1657" t="s">
        <v>13</v>
      </c>
      <c r="E1657" t="s">
        <v>6686</v>
      </c>
      <c r="F1657">
        <v>3366</v>
      </c>
      <c r="G1657" t="s">
        <v>2780</v>
      </c>
      <c r="H1657" t="s">
        <v>16</v>
      </c>
      <c r="I1657" t="s">
        <v>679</v>
      </c>
      <c r="J1657" t="s">
        <v>680</v>
      </c>
      <c r="K1657" t="s">
        <v>1809</v>
      </c>
      <c r="L1657" t="str">
        <f>HYPERLINK("https://business-monitor.ch/de/companies/173458-ingold-schreinerei-ag?utm_source=oberaargau","PROFIL ANSEHEN")</f>
        <v>PROFIL ANSEHEN</v>
      </c>
    </row>
    <row r="1658" spans="1:12" x14ac:dyDescent="0.2">
      <c r="A1658" t="s">
        <v>363</v>
      </c>
      <c r="B1658" t="s">
        <v>364</v>
      </c>
      <c r="C1658" t="s">
        <v>13</v>
      </c>
      <c r="E1658" t="s">
        <v>365</v>
      </c>
      <c r="F1658">
        <v>3360</v>
      </c>
      <c r="G1658" t="s">
        <v>35</v>
      </c>
      <c r="H1658" t="s">
        <v>16</v>
      </c>
      <c r="I1658" t="s">
        <v>366</v>
      </c>
      <c r="J1658" t="s">
        <v>367</v>
      </c>
      <c r="K1658" t="s">
        <v>1809</v>
      </c>
      <c r="L1658" t="str">
        <f>HYPERLINK("https://business-monitor.ch/de/companies/449989-dahlia-oberaargau-ag?utm_source=oberaargau","PROFIL ANSEHEN")</f>
        <v>PROFIL ANSEHEN</v>
      </c>
    </row>
    <row r="1659" spans="1:12" x14ac:dyDescent="0.2">
      <c r="A1659" t="s">
        <v>12195</v>
      </c>
      <c r="B1659" t="s">
        <v>12196</v>
      </c>
      <c r="C1659" t="s">
        <v>1812</v>
      </c>
      <c r="E1659" t="s">
        <v>4118</v>
      </c>
      <c r="F1659">
        <v>4912</v>
      </c>
      <c r="G1659" t="s">
        <v>64</v>
      </c>
      <c r="H1659" t="s">
        <v>16</v>
      </c>
      <c r="I1659" t="s">
        <v>854</v>
      </c>
      <c r="J1659" t="s">
        <v>855</v>
      </c>
      <c r="K1659" t="s">
        <v>1809</v>
      </c>
      <c r="L1659" t="str">
        <f>HYPERLINK("https://business-monitor.ch/de/companies/450197-xcosoft-hassan-it-service?utm_source=oberaargau","PROFIL ANSEHEN")</f>
        <v>PROFIL ANSEHEN</v>
      </c>
    </row>
    <row r="1660" spans="1:12" x14ac:dyDescent="0.2">
      <c r="A1660" t="s">
        <v>12144</v>
      </c>
      <c r="B1660" t="s">
        <v>12145</v>
      </c>
      <c r="C1660" t="s">
        <v>202</v>
      </c>
      <c r="D1660" t="s">
        <v>12146</v>
      </c>
      <c r="E1660" t="s">
        <v>12694</v>
      </c>
      <c r="F1660">
        <v>4537</v>
      </c>
      <c r="G1660" t="s">
        <v>113</v>
      </c>
      <c r="H1660" t="s">
        <v>16</v>
      </c>
      <c r="I1660" t="s">
        <v>781</v>
      </c>
      <c r="J1660" t="s">
        <v>782</v>
      </c>
      <c r="K1660" t="s">
        <v>1809</v>
      </c>
      <c r="L1660" t="str">
        <f>HYPERLINK("https://business-monitor.ch/de/companies/1176583-rici-bau-gmbh?utm_source=oberaargau","PROFIL ANSEHEN")</f>
        <v>PROFIL ANSEHEN</v>
      </c>
    </row>
    <row r="1661" spans="1:12" x14ac:dyDescent="0.2">
      <c r="A1661" t="s">
        <v>8038</v>
      </c>
      <c r="B1661" t="s">
        <v>10691</v>
      </c>
      <c r="C1661" t="s">
        <v>1812</v>
      </c>
      <c r="E1661" t="s">
        <v>4477</v>
      </c>
      <c r="F1661">
        <v>3476</v>
      </c>
      <c r="G1661" t="s">
        <v>3506</v>
      </c>
      <c r="H1661" t="s">
        <v>16</v>
      </c>
      <c r="I1661" t="s">
        <v>824</v>
      </c>
      <c r="J1661" t="s">
        <v>825</v>
      </c>
      <c r="K1661" t="s">
        <v>1809</v>
      </c>
      <c r="L1661" t="str">
        <f>HYPERLINK("https://business-monitor.ch/de/companies/413621-alessandra-ryser-schoeni?utm_source=oberaargau","PROFIL ANSEHEN")</f>
        <v>PROFIL ANSEHEN</v>
      </c>
    </row>
    <row r="1662" spans="1:12" x14ac:dyDescent="0.2">
      <c r="A1662" t="s">
        <v>3097</v>
      </c>
      <c r="B1662" t="s">
        <v>3098</v>
      </c>
      <c r="C1662" t="s">
        <v>1812</v>
      </c>
      <c r="E1662" t="s">
        <v>3099</v>
      </c>
      <c r="F1662">
        <v>4954</v>
      </c>
      <c r="G1662" t="s">
        <v>359</v>
      </c>
      <c r="H1662" t="s">
        <v>16</v>
      </c>
      <c r="I1662" t="s">
        <v>2438</v>
      </c>
      <c r="J1662" t="s">
        <v>2439</v>
      </c>
      <c r="K1662" t="s">
        <v>1809</v>
      </c>
      <c r="L1662" t="str">
        <f>HYPERLINK("https://business-monitor.ch/de/companies/326354-heiniger-christian?utm_source=oberaargau","PROFIL ANSEHEN")</f>
        <v>PROFIL ANSEHEN</v>
      </c>
    </row>
    <row r="1663" spans="1:12" x14ac:dyDescent="0.2">
      <c r="A1663" t="s">
        <v>9425</v>
      </c>
      <c r="B1663" t="s">
        <v>9426</v>
      </c>
      <c r="C1663" t="s">
        <v>1812</v>
      </c>
      <c r="E1663" t="s">
        <v>9427</v>
      </c>
      <c r="F1663">
        <v>4923</v>
      </c>
      <c r="G1663" t="s">
        <v>732</v>
      </c>
      <c r="H1663" t="s">
        <v>16</v>
      </c>
      <c r="I1663" t="s">
        <v>2496</v>
      </c>
      <c r="J1663" t="s">
        <v>2497</v>
      </c>
      <c r="K1663" t="s">
        <v>1809</v>
      </c>
      <c r="L1663" t="str">
        <f>HYPERLINK("https://business-monitor.ch/de/companies/15774-bruehwiler-elektrohaushalt-mit-pfiff?utm_source=oberaargau","PROFIL ANSEHEN")</f>
        <v>PROFIL ANSEHEN</v>
      </c>
    </row>
    <row r="1664" spans="1:12" x14ac:dyDescent="0.2">
      <c r="A1664" t="s">
        <v>2947</v>
      </c>
      <c r="B1664" t="s">
        <v>2948</v>
      </c>
      <c r="C1664" t="s">
        <v>202</v>
      </c>
      <c r="D1664" t="s">
        <v>2949</v>
      </c>
      <c r="E1664" t="s">
        <v>2950</v>
      </c>
      <c r="F1664">
        <v>3380</v>
      </c>
      <c r="G1664" t="s">
        <v>29</v>
      </c>
      <c r="H1664" t="s">
        <v>16</v>
      </c>
      <c r="I1664" t="s">
        <v>1097</v>
      </c>
      <c r="J1664" t="s">
        <v>1098</v>
      </c>
      <c r="K1664" t="s">
        <v>1809</v>
      </c>
      <c r="L1664" t="str">
        <f>HYPERLINK("https://business-monitor.ch/de/companies/373992-masta-trade-gmbh?utm_source=oberaargau","PROFIL ANSEHEN")</f>
        <v>PROFIL ANSEHEN</v>
      </c>
    </row>
    <row r="1665" spans="1:12" x14ac:dyDescent="0.2">
      <c r="A1665" t="s">
        <v>6071</v>
      </c>
      <c r="B1665" t="s">
        <v>6072</v>
      </c>
      <c r="C1665" t="s">
        <v>1922</v>
      </c>
      <c r="E1665" t="s">
        <v>10947</v>
      </c>
      <c r="F1665">
        <v>3380</v>
      </c>
      <c r="G1665" t="s">
        <v>29</v>
      </c>
      <c r="H1665" t="s">
        <v>16</v>
      </c>
      <c r="I1665" t="s">
        <v>2921</v>
      </c>
      <c r="J1665" t="s">
        <v>2922</v>
      </c>
      <c r="K1665" t="s">
        <v>1809</v>
      </c>
      <c r="L1665" t="str">
        <f>HYPERLINK("https://business-monitor.ch/de/companies/415720-stiftung-fuer-alterswohnbauten?utm_source=oberaargau","PROFIL ANSEHEN")</f>
        <v>PROFIL ANSEHEN</v>
      </c>
    </row>
    <row r="1666" spans="1:12" x14ac:dyDescent="0.2">
      <c r="A1666" t="s">
        <v>2698</v>
      </c>
      <c r="B1666" t="s">
        <v>2699</v>
      </c>
      <c r="C1666" t="s">
        <v>13</v>
      </c>
      <c r="E1666" t="s">
        <v>2700</v>
      </c>
      <c r="F1666">
        <v>3363</v>
      </c>
      <c r="G1666" t="s">
        <v>1367</v>
      </c>
      <c r="H1666" t="s">
        <v>16</v>
      </c>
      <c r="I1666" t="s">
        <v>1278</v>
      </c>
      <c r="J1666" t="s">
        <v>1279</v>
      </c>
      <c r="K1666" t="s">
        <v>1809</v>
      </c>
      <c r="L1666" t="str">
        <f>HYPERLINK("https://business-monitor.ch/de/companies/468194-kunstschlosserei-grossenbacher-ag?utm_source=oberaargau","PROFIL ANSEHEN")</f>
        <v>PROFIL ANSEHEN</v>
      </c>
    </row>
    <row r="1667" spans="1:12" x14ac:dyDescent="0.2">
      <c r="A1667" t="s">
        <v>5969</v>
      </c>
      <c r="B1667" t="s">
        <v>5970</v>
      </c>
      <c r="C1667" t="s">
        <v>84</v>
      </c>
      <c r="D1667" t="s">
        <v>5971</v>
      </c>
      <c r="E1667" t="s">
        <v>5972</v>
      </c>
      <c r="F1667">
        <v>4950</v>
      </c>
      <c r="G1667" t="s">
        <v>15</v>
      </c>
      <c r="H1667" t="s">
        <v>16</v>
      </c>
      <c r="I1667" t="s">
        <v>906</v>
      </c>
      <c r="J1667" t="s">
        <v>907</v>
      </c>
      <c r="K1667" t="s">
        <v>1809</v>
      </c>
      <c r="L1667" t="str">
        <f>HYPERLINK("https://business-monitor.ch/de/companies/459768-wohnbaugenossenschaft-tiyospaye?utm_source=oberaargau","PROFIL ANSEHEN")</f>
        <v>PROFIL ANSEHEN</v>
      </c>
    </row>
    <row r="1668" spans="1:12" x14ac:dyDescent="0.2">
      <c r="A1668" t="s">
        <v>7427</v>
      </c>
      <c r="B1668" t="s">
        <v>7428</v>
      </c>
      <c r="C1668" t="s">
        <v>13</v>
      </c>
      <c r="E1668" t="s">
        <v>7429</v>
      </c>
      <c r="F1668">
        <v>4936</v>
      </c>
      <c r="G1668" t="s">
        <v>768</v>
      </c>
      <c r="H1668" t="s">
        <v>16</v>
      </c>
      <c r="I1668" t="s">
        <v>642</v>
      </c>
      <c r="J1668" t="s">
        <v>643</v>
      </c>
      <c r="K1668" t="s">
        <v>1809</v>
      </c>
      <c r="L1668" t="str">
        <f>HYPERLINK("https://business-monitor.ch/de/companies/952389-garage-kaeser-ag-kleindietwil?utm_source=oberaargau","PROFIL ANSEHEN")</f>
        <v>PROFIL ANSEHEN</v>
      </c>
    </row>
    <row r="1669" spans="1:12" x14ac:dyDescent="0.2">
      <c r="A1669" t="s">
        <v>3225</v>
      </c>
      <c r="B1669" t="s">
        <v>3226</v>
      </c>
      <c r="C1669" t="s">
        <v>13</v>
      </c>
      <c r="E1669" t="s">
        <v>491</v>
      </c>
      <c r="F1669">
        <v>4900</v>
      </c>
      <c r="G1669" t="s">
        <v>41</v>
      </c>
      <c r="H1669" t="s">
        <v>16</v>
      </c>
      <c r="I1669" t="s">
        <v>603</v>
      </c>
      <c r="J1669" t="s">
        <v>604</v>
      </c>
      <c r="K1669" t="s">
        <v>1809</v>
      </c>
      <c r="L1669" t="str">
        <f>HYPERLINK("https://business-monitor.ch/de/companies/269824-schumacher-sport-ag?utm_source=oberaargau","PROFIL ANSEHEN")</f>
        <v>PROFIL ANSEHEN</v>
      </c>
    </row>
    <row r="1670" spans="1:12" x14ac:dyDescent="0.2">
      <c r="A1670" t="s">
        <v>4555</v>
      </c>
      <c r="B1670" t="s">
        <v>4556</v>
      </c>
      <c r="C1670" t="s">
        <v>202</v>
      </c>
      <c r="E1670" t="s">
        <v>4557</v>
      </c>
      <c r="F1670">
        <v>4537</v>
      </c>
      <c r="G1670" t="s">
        <v>113</v>
      </c>
      <c r="H1670" t="s">
        <v>16</v>
      </c>
      <c r="I1670" t="s">
        <v>4558</v>
      </c>
      <c r="J1670" t="s">
        <v>4559</v>
      </c>
      <c r="K1670" t="s">
        <v>1809</v>
      </c>
      <c r="L1670" t="str">
        <f>HYPERLINK("https://business-monitor.ch/de/companies/656379-uow-obrecht-gmbh?utm_source=oberaargau","PROFIL ANSEHEN")</f>
        <v>PROFIL ANSEHEN</v>
      </c>
    </row>
    <row r="1671" spans="1:12" x14ac:dyDescent="0.2">
      <c r="A1671" t="s">
        <v>8615</v>
      </c>
      <c r="B1671" t="s">
        <v>8616</v>
      </c>
      <c r="C1671" t="s">
        <v>202</v>
      </c>
      <c r="E1671" t="s">
        <v>4426</v>
      </c>
      <c r="F1671">
        <v>4923</v>
      </c>
      <c r="G1671" t="s">
        <v>732</v>
      </c>
      <c r="H1671" t="s">
        <v>16</v>
      </c>
      <c r="I1671" t="s">
        <v>3068</v>
      </c>
      <c r="J1671" t="s">
        <v>3069</v>
      </c>
      <c r="K1671" t="s">
        <v>1809</v>
      </c>
      <c r="L1671" t="str">
        <f>HYPERLINK("https://business-monitor.ch/de/companies/453915-new-consulting-lab-gmbh?utm_source=oberaargau","PROFIL ANSEHEN")</f>
        <v>PROFIL ANSEHEN</v>
      </c>
    </row>
    <row r="1672" spans="1:12" x14ac:dyDescent="0.2">
      <c r="A1672" t="s">
        <v>7681</v>
      </c>
      <c r="B1672" t="s">
        <v>7682</v>
      </c>
      <c r="C1672" t="s">
        <v>2178</v>
      </c>
      <c r="E1672" t="s">
        <v>14188</v>
      </c>
      <c r="F1672">
        <v>4936</v>
      </c>
      <c r="G1672" t="s">
        <v>768</v>
      </c>
      <c r="H1672" t="s">
        <v>16</v>
      </c>
      <c r="I1672" t="s">
        <v>642</v>
      </c>
      <c r="J1672" t="s">
        <v>643</v>
      </c>
      <c r="K1672" t="s">
        <v>1809</v>
      </c>
      <c r="L1672" t="str">
        <f>HYPERLINK("https://business-monitor.ch/de/companies/616776-autohilfe-stettler-gmbh?utm_source=oberaargau","PROFIL ANSEHEN")</f>
        <v>PROFIL ANSEHEN</v>
      </c>
    </row>
    <row r="1673" spans="1:12" x14ac:dyDescent="0.2">
      <c r="A1673" t="s">
        <v>5927</v>
      </c>
      <c r="B1673" t="s">
        <v>5928</v>
      </c>
      <c r="C1673" t="s">
        <v>2178</v>
      </c>
      <c r="E1673" t="s">
        <v>5929</v>
      </c>
      <c r="F1673">
        <v>4950</v>
      </c>
      <c r="G1673" t="s">
        <v>15</v>
      </c>
      <c r="H1673" t="s">
        <v>16</v>
      </c>
      <c r="I1673" t="s">
        <v>854</v>
      </c>
      <c r="J1673" t="s">
        <v>855</v>
      </c>
      <c r="K1673" t="s">
        <v>1809</v>
      </c>
      <c r="L1673" t="str">
        <f>HYPERLINK("https://business-monitor.ch/de/companies/479496-inkassobuero-huttwil-zweigniederlassung-der-collecta-ag?utm_source=oberaargau","PROFIL ANSEHEN")</f>
        <v>PROFIL ANSEHEN</v>
      </c>
    </row>
    <row r="1674" spans="1:12" x14ac:dyDescent="0.2">
      <c r="A1674" t="s">
        <v>8441</v>
      </c>
      <c r="B1674" t="s">
        <v>8442</v>
      </c>
      <c r="C1674" t="s">
        <v>202</v>
      </c>
      <c r="E1674" t="s">
        <v>8443</v>
      </c>
      <c r="F1674">
        <v>4538</v>
      </c>
      <c r="G1674" t="s">
        <v>71</v>
      </c>
      <c r="H1674" t="s">
        <v>16</v>
      </c>
      <c r="I1674" t="s">
        <v>3344</v>
      </c>
      <c r="J1674" t="s">
        <v>3345</v>
      </c>
      <c r="K1674" t="s">
        <v>1809</v>
      </c>
      <c r="L1674" t="str">
        <f>HYPERLINK("https://business-monitor.ch/de/companies/424302-spitexana-gmbh?utm_source=oberaargau","PROFIL ANSEHEN")</f>
        <v>PROFIL ANSEHEN</v>
      </c>
    </row>
    <row r="1675" spans="1:12" x14ac:dyDescent="0.2">
      <c r="A1675" t="s">
        <v>6089</v>
      </c>
      <c r="B1675" t="s">
        <v>6090</v>
      </c>
      <c r="C1675" t="s">
        <v>202</v>
      </c>
      <c r="E1675" t="s">
        <v>6091</v>
      </c>
      <c r="F1675">
        <v>4536</v>
      </c>
      <c r="G1675" t="s">
        <v>1395</v>
      </c>
      <c r="H1675" t="s">
        <v>16</v>
      </c>
      <c r="I1675" t="s">
        <v>6092</v>
      </c>
      <c r="J1675" t="s">
        <v>6093</v>
      </c>
      <c r="K1675" t="s">
        <v>1809</v>
      </c>
      <c r="L1675" t="str">
        <f>HYPERLINK("https://business-monitor.ch/de/companies/409927-getraenkehandel-wybrunne-gmbh?utm_source=oberaargau","PROFIL ANSEHEN")</f>
        <v>PROFIL ANSEHEN</v>
      </c>
    </row>
    <row r="1676" spans="1:12" x14ac:dyDescent="0.2">
      <c r="A1676" t="s">
        <v>12098</v>
      </c>
      <c r="B1676" t="s">
        <v>12099</v>
      </c>
      <c r="C1676" t="s">
        <v>13</v>
      </c>
      <c r="E1676" t="s">
        <v>9519</v>
      </c>
      <c r="F1676">
        <v>3365</v>
      </c>
      <c r="G1676" t="s">
        <v>1008</v>
      </c>
      <c r="H1676" t="s">
        <v>16</v>
      </c>
      <c r="I1676" t="s">
        <v>679</v>
      </c>
      <c r="J1676" t="s">
        <v>680</v>
      </c>
      <c r="K1676" t="s">
        <v>1809</v>
      </c>
      <c r="L1676" t="str">
        <f>HYPERLINK("https://business-monitor.ch/de/companies/1179057-gruetter-ag-schreinerei-kuechenbau?utm_source=oberaargau","PROFIL ANSEHEN")</f>
        <v>PROFIL ANSEHEN</v>
      </c>
    </row>
    <row r="1677" spans="1:12" x14ac:dyDescent="0.2">
      <c r="A1677" t="s">
        <v>2809</v>
      </c>
      <c r="B1677" t="s">
        <v>2810</v>
      </c>
      <c r="C1677" t="s">
        <v>1812</v>
      </c>
      <c r="E1677" t="s">
        <v>11911</v>
      </c>
      <c r="F1677">
        <v>3360</v>
      </c>
      <c r="G1677" t="s">
        <v>35</v>
      </c>
      <c r="H1677" t="s">
        <v>16</v>
      </c>
      <c r="I1677" t="s">
        <v>920</v>
      </c>
      <c r="J1677" t="s">
        <v>921</v>
      </c>
      <c r="K1677" t="s">
        <v>1809</v>
      </c>
      <c r="L1677" t="str">
        <f>HYPERLINK("https://business-monitor.ch/de/companies/426291-schaad-textil?utm_source=oberaargau","PROFIL ANSEHEN")</f>
        <v>PROFIL ANSEHEN</v>
      </c>
    </row>
    <row r="1678" spans="1:12" x14ac:dyDescent="0.2">
      <c r="A1678" t="s">
        <v>4541</v>
      </c>
      <c r="B1678" t="s">
        <v>1345</v>
      </c>
      <c r="C1678" t="s">
        <v>2178</v>
      </c>
      <c r="E1678" t="s">
        <v>1084</v>
      </c>
      <c r="F1678">
        <v>4900</v>
      </c>
      <c r="G1678" t="s">
        <v>41</v>
      </c>
      <c r="H1678" t="s">
        <v>16</v>
      </c>
      <c r="I1678" t="s">
        <v>232</v>
      </c>
      <c r="J1678" t="s">
        <v>233</v>
      </c>
      <c r="K1678" t="s">
        <v>1809</v>
      </c>
      <c r="L1678" t="str">
        <f>HYPERLINK("https://business-monitor.ch/de/companies/669287-interrevi-ag?utm_source=oberaargau","PROFIL ANSEHEN")</f>
        <v>PROFIL ANSEHEN</v>
      </c>
    </row>
    <row r="1679" spans="1:12" x14ac:dyDescent="0.2">
      <c r="A1679" t="s">
        <v>11588</v>
      </c>
      <c r="B1679" t="s">
        <v>11589</v>
      </c>
      <c r="C1679" t="s">
        <v>202</v>
      </c>
      <c r="E1679" t="s">
        <v>13837</v>
      </c>
      <c r="F1679">
        <v>3373</v>
      </c>
      <c r="G1679" t="s">
        <v>2429</v>
      </c>
      <c r="H1679" t="s">
        <v>16</v>
      </c>
      <c r="I1679" t="s">
        <v>3982</v>
      </c>
      <c r="J1679" t="s">
        <v>3983</v>
      </c>
      <c r="K1679" t="s">
        <v>1809</v>
      </c>
      <c r="L1679" t="str">
        <f>HYPERLINK("https://business-monitor.ch/de/companies/1137853-story-lab-gmbh?utm_source=oberaargau","PROFIL ANSEHEN")</f>
        <v>PROFIL ANSEHEN</v>
      </c>
    </row>
    <row r="1680" spans="1:12" x14ac:dyDescent="0.2">
      <c r="A1680" t="s">
        <v>5874</v>
      </c>
      <c r="B1680" t="s">
        <v>9017</v>
      </c>
      <c r="C1680" t="s">
        <v>13</v>
      </c>
      <c r="E1680" t="s">
        <v>1244</v>
      </c>
      <c r="F1680">
        <v>3360</v>
      </c>
      <c r="G1680" t="s">
        <v>35</v>
      </c>
      <c r="H1680" t="s">
        <v>16</v>
      </c>
      <c r="I1680" t="s">
        <v>9018</v>
      </c>
      <c r="J1680" t="s">
        <v>9019</v>
      </c>
      <c r="K1680" t="s">
        <v>1809</v>
      </c>
      <c r="L1680" t="str">
        <f>HYPERLINK("https://business-monitor.ch/de/companies/226192-boegli-wagatex-engineering-ag?utm_source=oberaargau","PROFIL ANSEHEN")</f>
        <v>PROFIL ANSEHEN</v>
      </c>
    </row>
    <row r="1681" spans="1:12" x14ac:dyDescent="0.2">
      <c r="A1681" t="s">
        <v>8536</v>
      </c>
      <c r="B1681" t="s">
        <v>8537</v>
      </c>
      <c r="C1681" t="s">
        <v>2178</v>
      </c>
      <c r="E1681" t="s">
        <v>8492</v>
      </c>
      <c r="F1681">
        <v>4900</v>
      </c>
      <c r="G1681" t="s">
        <v>41</v>
      </c>
      <c r="H1681" t="s">
        <v>16</v>
      </c>
      <c r="I1681" t="s">
        <v>232</v>
      </c>
      <c r="J1681" t="s">
        <v>233</v>
      </c>
      <c r="K1681" t="s">
        <v>1809</v>
      </c>
      <c r="L1681" t="str">
        <f>HYPERLINK("https://business-monitor.ch/de/companies/500511-engel-copera-ag?utm_source=oberaargau","PROFIL ANSEHEN")</f>
        <v>PROFIL ANSEHEN</v>
      </c>
    </row>
    <row r="1682" spans="1:12" x14ac:dyDescent="0.2">
      <c r="A1682" t="s">
        <v>3143</v>
      </c>
      <c r="B1682" t="s">
        <v>3144</v>
      </c>
      <c r="C1682" t="s">
        <v>202</v>
      </c>
      <c r="E1682" t="s">
        <v>3145</v>
      </c>
      <c r="F1682">
        <v>4537</v>
      </c>
      <c r="G1682" t="s">
        <v>113</v>
      </c>
      <c r="H1682" t="s">
        <v>16</v>
      </c>
      <c r="I1682" t="s">
        <v>24</v>
      </c>
      <c r="J1682" t="s">
        <v>25</v>
      </c>
      <c r="K1682" t="s">
        <v>1809</v>
      </c>
      <c r="L1682" t="str">
        <f>HYPERLINK("https://business-monitor.ch/de/companies/310018-werkflow-gmbh?utm_source=oberaargau","PROFIL ANSEHEN")</f>
        <v>PROFIL ANSEHEN</v>
      </c>
    </row>
    <row r="1683" spans="1:12" x14ac:dyDescent="0.2">
      <c r="A1683" t="s">
        <v>2726</v>
      </c>
      <c r="B1683" t="s">
        <v>2727</v>
      </c>
      <c r="C1683" t="s">
        <v>1922</v>
      </c>
      <c r="D1683" t="s">
        <v>11512</v>
      </c>
      <c r="E1683" t="s">
        <v>7374</v>
      </c>
      <c r="F1683">
        <v>4952</v>
      </c>
      <c r="G1683" t="s">
        <v>474</v>
      </c>
      <c r="H1683" t="s">
        <v>16</v>
      </c>
      <c r="I1683" t="s">
        <v>2591</v>
      </c>
      <c r="J1683" t="s">
        <v>2592</v>
      </c>
      <c r="K1683" t="s">
        <v>1809</v>
      </c>
      <c r="L1683" t="str">
        <f>HYPERLINK("https://business-monitor.ch/de/companies/268693-franz-und-rosemarie-eggenschwiler-wiggli-stiftung?utm_source=oberaargau","PROFIL ANSEHEN")</f>
        <v>PROFIL ANSEHEN</v>
      </c>
    </row>
    <row r="1684" spans="1:12" x14ac:dyDescent="0.2">
      <c r="A1684" t="s">
        <v>8515</v>
      </c>
      <c r="B1684" t="s">
        <v>8516</v>
      </c>
      <c r="C1684" t="s">
        <v>202</v>
      </c>
      <c r="E1684" t="s">
        <v>8517</v>
      </c>
      <c r="F1684">
        <v>4900</v>
      </c>
      <c r="G1684" t="s">
        <v>41</v>
      </c>
      <c r="H1684" t="s">
        <v>16</v>
      </c>
      <c r="I1684" t="s">
        <v>2433</v>
      </c>
      <c r="J1684" t="s">
        <v>2434</v>
      </c>
      <c r="K1684" t="s">
        <v>1809</v>
      </c>
      <c r="L1684" t="str">
        <f>HYPERLINK("https://business-monitor.ch/de/companies/376445-urbanis-gmbh?utm_source=oberaargau","PROFIL ANSEHEN")</f>
        <v>PROFIL ANSEHEN</v>
      </c>
    </row>
    <row r="1685" spans="1:12" x14ac:dyDescent="0.2">
      <c r="A1685" t="s">
        <v>8747</v>
      </c>
      <c r="B1685" t="s">
        <v>8748</v>
      </c>
      <c r="C1685" t="s">
        <v>202</v>
      </c>
      <c r="E1685" t="s">
        <v>8749</v>
      </c>
      <c r="F1685">
        <v>4900</v>
      </c>
      <c r="G1685" t="s">
        <v>41</v>
      </c>
      <c r="H1685" t="s">
        <v>16</v>
      </c>
      <c r="I1685" t="s">
        <v>144</v>
      </c>
      <c r="J1685" t="s">
        <v>145</v>
      </c>
      <c r="K1685" t="s">
        <v>1809</v>
      </c>
      <c r="L1685" t="str">
        <f>HYPERLINK("https://business-monitor.ch/de/companies/373590-denu-design-gmbh?utm_source=oberaargau","PROFIL ANSEHEN")</f>
        <v>PROFIL ANSEHEN</v>
      </c>
    </row>
    <row r="1686" spans="1:12" x14ac:dyDescent="0.2">
      <c r="A1686" t="s">
        <v>6192</v>
      </c>
      <c r="B1686" t="s">
        <v>6193</v>
      </c>
      <c r="C1686" t="s">
        <v>202</v>
      </c>
      <c r="E1686" t="s">
        <v>6194</v>
      </c>
      <c r="F1686">
        <v>3360</v>
      </c>
      <c r="G1686" t="s">
        <v>35</v>
      </c>
      <c r="H1686" t="s">
        <v>16</v>
      </c>
      <c r="I1686" t="s">
        <v>764</v>
      </c>
      <c r="J1686" t="s">
        <v>765</v>
      </c>
      <c r="K1686" t="s">
        <v>1809</v>
      </c>
      <c r="L1686" t="str">
        <f>HYPERLINK("https://business-monitor.ch/de/companies/377715-bk-gmbh?utm_source=oberaargau","PROFIL ANSEHEN")</f>
        <v>PROFIL ANSEHEN</v>
      </c>
    </row>
    <row r="1687" spans="1:12" x14ac:dyDescent="0.2">
      <c r="A1687" t="s">
        <v>10200</v>
      </c>
      <c r="B1687" t="s">
        <v>10201</v>
      </c>
      <c r="C1687" t="s">
        <v>2178</v>
      </c>
      <c r="E1687" t="s">
        <v>8653</v>
      </c>
      <c r="F1687">
        <v>4900</v>
      </c>
      <c r="G1687" t="s">
        <v>41</v>
      </c>
      <c r="H1687" t="s">
        <v>16</v>
      </c>
      <c r="I1687" t="s">
        <v>5245</v>
      </c>
      <c r="J1687" t="s">
        <v>5246</v>
      </c>
      <c r="K1687" t="s">
        <v>1809</v>
      </c>
      <c r="L1687" t="str">
        <f>HYPERLINK("https://business-monitor.ch/de/companies/618314-marti-inneneinrichtungen-ag-zweigniederlassung?utm_source=oberaargau","PROFIL ANSEHEN")</f>
        <v>PROFIL ANSEHEN</v>
      </c>
    </row>
    <row r="1688" spans="1:12" x14ac:dyDescent="0.2">
      <c r="A1688" t="s">
        <v>5613</v>
      </c>
      <c r="B1688" t="s">
        <v>5614</v>
      </c>
      <c r="C1688" t="s">
        <v>1812</v>
      </c>
      <c r="E1688" t="s">
        <v>5615</v>
      </c>
      <c r="F1688">
        <v>4914</v>
      </c>
      <c r="G1688" t="s">
        <v>105</v>
      </c>
      <c r="H1688" t="s">
        <v>16</v>
      </c>
      <c r="I1688" t="s">
        <v>1835</v>
      </c>
      <c r="J1688" t="s">
        <v>1836</v>
      </c>
      <c r="K1688" t="s">
        <v>1809</v>
      </c>
      <c r="L1688" t="str">
        <f>HYPERLINK("https://business-monitor.ch/de/companies/500214-andrijanic-tina-schmutzexorzist-reinigung?utm_source=oberaargau","PROFIL ANSEHEN")</f>
        <v>PROFIL ANSEHEN</v>
      </c>
    </row>
    <row r="1689" spans="1:12" x14ac:dyDescent="0.2">
      <c r="A1689" t="s">
        <v>8744</v>
      </c>
      <c r="B1689" t="s">
        <v>8745</v>
      </c>
      <c r="C1689" t="s">
        <v>202</v>
      </c>
      <c r="E1689" t="s">
        <v>8746</v>
      </c>
      <c r="F1689">
        <v>3380</v>
      </c>
      <c r="G1689" t="s">
        <v>29</v>
      </c>
      <c r="H1689" t="s">
        <v>16</v>
      </c>
      <c r="I1689" t="s">
        <v>12370</v>
      </c>
      <c r="J1689" t="s">
        <v>12371</v>
      </c>
      <c r="K1689" t="s">
        <v>1809</v>
      </c>
      <c r="L1689" t="str">
        <f>HYPERLINK("https://business-monitor.ch/de/companies/379317-stagi-ch-gmbh?utm_source=oberaargau","PROFIL ANSEHEN")</f>
        <v>PROFIL ANSEHEN</v>
      </c>
    </row>
    <row r="1690" spans="1:12" x14ac:dyDescent="0.2">
      <c r="A1690" t="s">
        <v>6747</v>
      </c>
      <c r="B1690" t="s">
        <v>6748</v>
      </c>
      <c r="C1690" t="s">
        <v>202</v>
      </c>
      <c r="E1690" t="s">
        <v>1509</v>
      </c>
      <c r="F1690">
        <v>4900</v>
      </c>
      <c r="G1690" t="s">
        <v>41</v>
      </c>
      <c r="H1690" t="s">
        <v>16</v>
      </c>
      <c r="I1690" t="s">
        <v>1193</v>
      </c>
      <c r="J1690" t="s">
        <v>1194</v>
      </c>
      <c r="K1690" t="s">
        <v>1809</v>
      </c>
      <c r="L1690" t="str">
        <f>HYPERLINK("https://business-monitor.ch/de/companies/124140-advantx-solutions-gmbh?utm_source=oberaargau","PROFIL ANSEHEN")</f>
        <v>PROFIL ANSEHEN</v>
      </c>
    </row>
    <row r="1691" spans="1:12" x14ac:dyDescent="0.2">
      <c r="A1691" t="s">
        <v>10391</v>
      </c>
      <c r="B1691" t="s">
        <v>10392</v>
      </c>
      <c r="C1691" t="s">
        <v>13</v>
      </c>
      <c r="E1691" t="s">
        <v>6372</v>
      </c>
      <c r="F1691">
        <v>4900</v>
      </c>
      <c r="G1691" t="s">
        <v>41</v>
      </c>
      <c r="H1691" t="s">
        <v>16</v>
      </c>
      <c r="I1691" t="s">
        <v>3861</v>
      </c>
      <c r="J1691" t="s">
        <v>3862</v>
      </c>
      <c r="K1691" t="s">
        <v>1809</v>
      </c>
      <c r="L1691" t="str">
        <f>HYPERLINK("https://business-monitor.ch/de/companies/344369-medas-oberaargau-ag?utm_source=oberaargau","PROFIL ANSEHEN")</f>
        <v>PROFIL ANSEHEN</v>
      </c>
    </row>
    <row r="1692" spans="1:12" x14ac:dyDescent="0.2">
      <c r="A1692" t="s">
        <v>6758</v>
      </c>
      <c r="B1692" t="s">
        <v>6759</v>
      </c>
      <c r="C1692" t="s">
        <v>13</v>
      </c>
      <c r="D1692" t="s">
        <v>6760</v>
      </c>
      <c r="E1692" t="s">
        <v>6761</v>
      </c>
      <c r="F1692">
        <v>4932</v>
      </c>
      <c r="G1692" t="s">
        <v>325</v>
      </c>
      <c r="H1692" t="s">
        <v>16</v>
      </c>
      <c r="I1692" t="s">
        <v>271</v>
      </c>
      <c r="J1692" t="s">
        <v>272</v>
      </c>
      <c r="K1692" t="s">
        <v>1809</v>
      </c>
      <c r="L1692" t="str">
        <f>HYPERLINK("https://business-monitor.ch/de/companies/120153-innovastrat-ag?utm_source=oberaargau","PROFIL ANSEHEN")</f>
        <v>PROFIL ANSEHEN</v>
      </c>
    </row>
    <row r="1693" spans="1:12" x14ac:dyDescent="0.2">
      <c r="A1693" t="s">
        <v>7071</v>
      </c>
      <c r="B1693" t="s">
        <v>7072</v>
      </c>
      <c r="C1693" t="s">
        <v>13</v>
      </c>
      <c r="E1693" t="s">
        <v>2884</v>
      </c>
      <c r="F1693">
        <v>4950</v>
      </c>
      <c r="G1693" t="s">
        <v>15</v>
      </c>
      <c r="H1693" t="s">
        <v>16</v>
      </c>
      <c r="I1693" t="s">
        <v>182</v>
      </c>
      <c r="J1693" t="s">
        <v>183</v>
      </c>
      <c r="K1693" t="s">
        <v>1809</v>
      </c>
      <c r="L1693" t="str">
        <f>HYPERLINK("https://business-monitor.ch/de/companies/1005513-psc-holding-ag?utm_source=oberaargau","PROFIL ANSEHEN")</f>
        <v>PROFIL ANSEHEN</v>
      </c>
    </row>
    <row r="1694" spans="1:12" x14ac:dyDescent="0.2">
      <c r="A1694" t="s">
        <v>9731</v>
      </c>
      <c r="B1694" t="s">
        <v>9732</v>
      </c>
      <c r="C1694" t="s">
        <v>202</v>
      </c>
      <c r="E1694" t="s">
        <v>9733</v>
      </c>
      <c r="F1694">
        <v>4936</v>
      </c>
      <c r="G1694" t="s">
        <v>768</v>
      </c>
      <c r="H1694" t="s">
        <v>16</v>
      </c>
      <c r="I1694" t="s">
        <v>1401</v>
      </c>
      <c r="J1694" t="s">
        <v>1402</v>
      </c>
      <c r="K1694" t="s">
        <v>1809</v>
      </c>
      <c r="L1694" t="str">
        <f>HYPERLINK("https://business-monitor.ch/de/companies/1036470-il-fiore-mm-gmbh?utm_source=oberaargau","PROFIL ANSEHEN")</f>
        <v>PROFIL ANSEHEN</v>
      </c>
    </row>
    <row r="1695" spans="1:12" x14ac:dyDescent="0.2">
      <c r="A1695" t="s">
        <v>1820</v>
      </c>
      <c r="B1695" t="s">
        <v>11547</v>
      </c>
      <c r="C1695" t="s">
        <v>1812</v>
      </c>
      <c r="E1695" t="s">
        <v>1821</v>
      </c>
      <c r="F1695">
        <v>4934</v>
      </c>
      <c r="G1695" t="s">
        <v>670</v>
      </c>
      <c r="H1695" t="s">
        <v>16</v>
      </c>
      <c r="I1695" t="s">
        <v>2939</v>
      </c>
      <c r="J1695" t="s">
        <v>2940</v>
      </c>
      <c r="K1695" t="s">
        <v>1809</v>
      </c>
      <c r="L1695" t="str">
        <f>HYPERLINK("https://business-monitor.ch/de/companies/443190-bk-das-atelier-brigitta-kneubuehler?utm_source=oberaargau","PROFIL ANSEHEN")</f>
        <v>PROFIL ANSEHEN</v>
      </c>
    </row>
    <row r="1696" spans="1:12" x14ac:dyDescent="0.2">
      <c r="A1696" t="s">
        <v>6435</v>
      </c>
      <c r="B1696" t="s">
        <v>10387</v>
      </c>
      <c r="C1696" t="s">
        <v>1827</v>
      </c>
      <c r="E1696" t="s">
        <v>10388</v>
      </c>
      <c r="F1696">
        <v>4536</v>
      </c>
      <c r="G1696" t="s">
        <v>1395</v>
      </c>
      <c r="H1696" t="s">
        <v>16</v>
      </c>
      <c r="I1696" t="s">
        <v>1535</v>
      </c>
      <c r="J1696" t="s">
        <v>1536</v>
      </c>
      <c r="K1696" t="s">
        <v>1809</v>
      </c>
      <c r="L1696" t="str">
        <f>HYPERLINK("https://business-monitor.ch/de/companies/283639-gebrueder-gehriger?utm_source=oberaargau","PROFIL ANSEHEN")</f>
        <v>PROFIL ANSEHEN</v>
      </c>
    </row>
    <row r="1697" spans="1:12" x14ac:dyDescent="0.2">
      <c r="A1697" t="s">
        <v>3772</v>
      </c>
      <c r="B1697" t="s">
        <v>3773</v>
      </c>
      <c r="C1697" t="s">
        <v>1812</v>
      </c>
      <c r="E1697" t="s">
        <v>3774</v>
      </c>
      <c r="F1697">
        <v>4704</v>
      </c>
      <c r="G1697" t="s">
        <v>221</v>
      </c>
      <c r="H1697" t="s">
        <v>16</v>
      </c>
      <c r="I1697" t="s">
        <v>3775</v>
      </c>
      <c r="J1697" t="s">
        <v>3776</v>
      </c>
      <c r="K1697" t="s">
        <v>1809</v>
      </c>
      <c r="L1697" t="str">
        <f>HYPERLINK("https://business-monitor.ch/de/companies/606710-simon-imagefilm?utm_source=oberaargau","PROFIL ANSEHEN")</f>
        <v>PROFIL ANSEHEN</v>
      </c>
    </row>
    <row r="1698" spans="1:12" x14ac:dyDescent="0.2">
      <c r="A1698" t="s">
        <v>3813</v>
      </c>
      <c r="B1698" t="s">
        <v>3814</v>
      </c>
      <c r="C1698" t="s">
        <v>1812</v>
      </c>
      <c r="E1698" t="s">
        <v>3815</v>
      </c>
      <c r="F1698">
        <v>3373</v>
      </c>
      <c r="G1698" t="s">
        <v>1640</v>
      </c>
      <c r="H1698" t="s">
        <v>16</v>
      </c>
      <c r="I1698" t="s">
        <v>12376</v>
      </c>
      <c r="J1698" t="s">
        <v>12377</v>
      </c>
      <c r="K1698" t="s">
        <v>1809</v>
      </c>
      <c r="L1698" t="str">
        <f>HYPERLINK("https://business-monitor.ch/de/companies/541497-hanspeter-imfeld?utm_source=oberaargau","PROFIL ANSEHEN")</f>
        <v>PROFIL ANSEHEN</v>
      </c>
    </row>
    <row r="1699" spans="1:12" x14ac:dyDescent="0.2">
      <c r="A1699" t="s">
        <v>4765</v>
      </c>
      <c r="B1699" t="s">
        <v>4766</v>
      </c>
      <c r="C1699" t="s">
        <v>13</v>
      </c>
      <c r="E1699" t="s">
        <v>2712</v>
      </c>
      <c r="F1699">
        <v>4538</v>
      </c>
      <c r="G1699" t="s">
        <v>71</v>
      </c>
      <c r="H1699" t="s">
        <v>16</v>
      </c>
      <c r="I1699" t="s">
        <v>1818</v>
      </c>
      <c r="J1699" t="s">
        <v>1819</v>
      </c>
      <c r="K1699" t="s">
        <v>1809</v>
      </c>
      <c r="L1699" t="str">
        <f>HYPERLINK("https://business-monitor.ch/de/companies/570106-transparentbroker-ch-ag?utm_source=oberaargau","PROFIL ANSEHEN")</f>
        <v>PROFIL ANSEHEN</v>
      </c>
    </row>
    <row r="1700" spans="1:12" x14ac:dyDescent="0.2">
      <c r="A1700" t="s">
        <v>11652</v>
      </c>
      <c r="B1700" t="s">
        <v>11653</v>
      </c>
      <c r="C1700" t="s">
        <v>202</v>
      </c>
      <c r="E1700" t="s">
        <v>2847</v>
      </c>
      <c r="F1700">
        <v>4900</v>
      </c>
      <c r="G1700" t="s">
        <v>41</v>
      </c>
      <c r="H1700" t="s">
        <v>16</v>
      </c>
      <c r="I1700" t="s">
        <v>72</v>
      </c>
      <c r="J1700" t="s">
        <v>73</v>
      </c>
      <c r="K1700" t="s">
        <v>1809</v>
      </c>
      <c r="L1700" t="str">
        <f>HYPERLINK("https://business-monitor.ch/de/companies/1153444-dogan-s-gmbh?utm_source=oberaargau","PROFIL ANSEHEN")</f>
        <v>PROFIL ANSEHEN</v>
      </c>
    </row>
    <row r="1701" spans="1:12" x14ac:dyDescent="0.2">
      <c r="A1701" t="s">
        <v>10363</v>
      </c>
      <c r="B1701" t="s">
        <v>10364</v>
      </c>
      <c r="C1701" t="s">
        <v>1812</v>
      </c>
      <c r="E1701" t="s">
        <v>10365</v>
      </c>
      <c r="F1701">
        <v>4917</v>
      </c>
      <c r="G1701" t="s">
        <v>376</v>
      </c>
      <c r="H1701" t="s">
        <v>16</v>
      </c>
      <c r="I1701" t="s">
        <v>3253</v>
      </c>
      <c r="J1701" t="s">
        <v>3254</v>
      </c>
      <c r="K1701" t="s">
        <v>1809</v>
      </c>
      <c r="L1701" t="str">
        <f>HYPERLINK("https://business-monitor.ch/de/companies/531101-metzgerei-niklaus?utm_source=oberaargau","PROFIL ANSEHEN")</f>
        <v>PROFIL ANSEHEN</v>
      </c>
    </row>
    <row r="1702" spans="1:12" x14ac:dyDescent="0.2">
      <c r="A1702" t="s">
        <v>7725</v>
      </c>
      <c r="B1702" t="s">
        <v>7726</v>
      </c>
      <c r="C1702" t="s">
        <v>13</v>
      </c>
      <c r="D1702" t="s">
        <v>7727</v>
      </c>
      <c r="E1702" t="s">
        <v>14472</v>
      </c>
      <c r="F1702">
        <v>4937</v>
      </c>
      <c r="G1702" t="s">
        <v>951</v>
      </c>
      <c r="H1702" t="s">
        <v>16</v>
      </c>
      <c r="I1702" t="s">
        <v>182</v>
      </c>
      <c r="J1702" t="s">
        <v>183</v>
      </c>
      <c r="K1702" t="s">
        <v>1809</v>
      </c>
      <c r="L1702" t="str">
        <f>HYPERLINK("https://business-monitor.ch/de/companies/593045-heiniger-holding-ag?utm_source=oberaargau","PROFIL ANSEHEN")</f>
        <v>PROFIL ANSEHEN</v>
      </c>
    </row>
    <row r="1703" spans="1:12" x14ac:dyDescent="0.2">
      <c r="A1703" t="s">
        <v>7098</v>
      </c>
      <c r="B1703" t="s">
        <v>7099</v>
      </c>
      <c r="C1703" t="s">
        <v>1827</v>
      </c>
      <c r="E1703" t="s">
        <v>7100</v>
      </c>
      <c r="F1703">
        <v>4900</v>
      </c>
      <c r="G1703" t="s">
        <v>41</v>
      </c>
      <c r="H1703" t="s">
        <v>16</v>
      </c>
      <c r="I1703" t="s">
        <v>6019</v>
      </c>
      <c r="J1703" t="s">
        <v>6020</v>
      </c>
      <c r="K1703" t="s">
        <v>1809</v>
      </c>
      <c r="L1703" t="str">
        <f>HYPERLINK("https://business-monitor.ch/de/companies/540700-impex-saegesser-co?utm_source=oberaargau","PROFIL ANSEHEN")</f>
        <v>PROFIL ANSEHEN</v>
      </c>
    </row>
    <row r="1704" spans="1:12" x14ac:dyDescent="0.2">
      <c r="A1704" t="s">
        <v>7735</v>
      </c>
      <c r="B1704" t="s">
        <v>7736</v>
      </c>
      <c r="C1704" t="s">
        <v>1812</v>
      </c>
      <c r="E1704" t="s">
        <v>3891</v>
      </c>
      <c r="F1704">
        <v>4913</v>
      </c>
      <c r="G1704" t="s">
        <v>207</v>
      </c>
      <c r="H1704" t="s">
        <v>16</v>
      </c>
      <c r="I1704" t="s">
        <v>824</v>
      </c>
      <c r="J1704" t="s">
        <v>825</v>
      </c>
      <c r="K1704" t="s">
        <v>1809</v>
      </c>
      <c r="L1704" t="str">
        <f>HYPERLINK("https://business-monitor.ch/de/companies/588811-restaurant-pizzeria-zentrum-domenico-cucchiara?utm_source=oberaargau","PROFIL ANSEHEN")</f>
        <v>PROFIL ANSEHEN</v>
      </c>
    </row>
    <row r="1705" spans="1:12" x14ac:dyDescent="0.2">
      <c r="A1705" t="s">
        <v>3038</v>
      </c>
      <c r="B1705" t="s">
        <v>3039</v>
      </c>
      <c r="C1705" t="s">
        <v>202</v>
      </c>
      <c r="E1705" t="s">
        <v>3040</v>
      </c>
      <c r="F1705">
        <v>3360</v>
      </c>
      <c r="G1705" t="s">
        <v>35</v>
      </c>
      <c r="H1705" t="s">
        <v>16</v>
      </c>
      <c r="I1705" t="s">
        <v>1553</v>
      </c>
      <c r="J1705" t="s">
        <v>1554</v>
      </c>
      <c r="K1705" t="s">
        <v>1809</v>
      </c>
      <c r="L1705" t="str">
        <f>HYPERLINK("https://business-monitor.ch/de/companies/352100-amptec-gmbh?utm_source=oberaargau","PROFIL ANSEHEN")</f>
        <v>PROFIL ANSEHEN</v>
      </c>
    </row>
    <row r="1706" spans="1:12" x14ac:dyDescent="0.2">
      <c r="A1706" t="s">
        <v>4805</v>
      </c>
      <c r="B1706" t="s">
        <v>4806</v>
      </c>
      <c r="C1706" t="s">
        <v>1812</v>
      </c>
      <c r="E1706" t="s">
        <v>1823</v>
      </c>
      <c r="F1706">
        <v>4914</v>
      </c>
      <c r="G1706" t="s">
        <v>105</v>
      </c>
      <c r="H1706" t="s">
        <v>16</v>
      </c>
      <c r="I1706" t="s">
        <v>913</v>
      </c>
      <c r="J1706" t="s">
        <v>914</v>
      </c>
      <c r="K1706" t="s">
        <v>1809</v>
      </c>
      <c r="L1706" t="str">
        <f>HYPERLINK("https://business-monitor.ch/de/companies/557662-schneider-karl?utm_source=oberaargau","PROFIL ANSEHEN")</f>
        <v>PROFIL ANSEHEN</v>
      </c>
    </row>
    <row r="1707" spans="1:12" x14ac:dyDescent="0.2">
      <c r="A1707" t="s">
        <v>10162</v>
      </c>
      <c r="B1707" t="s">
        <v>10163</v>
      </c>
      <c r="C1707" t="s">
        <v>202</v>
      </c>
      <c r="E1707" t="s">
        <v>390</v>
      </c>
      <c r="F1707">
        <v>4950</v>
      </c>
      <c r="G1707" t="s">
        <v>15</v>
      </c>
      <c r="H1707" t="s">
        <v>16</v>
      </c>
      <c r="I1707" t="s">
        <v>475</v>
      </c>
      <c r="J1707" t="s">
        <v>476</v>
      </c>
      <c r="K1707" t="s">
        <v>1809</v>
      </c>
      <c r="L1707" t="str">
        <f>HYPERLINK("https://business-monitor.ch/de/companies/647715-ac-4tech-gmbh?utm_source=oberaargau","PROFIL ANSEHEN")</f>
        <v>PROFIL ANSEHEN</v>
      </c>
    </row>
    <row r="1708" spans="1:12" x14ac:dyDescent="0.2">
      <c r="A1708" t="s">
        <v>8048</v>
      </c>
      <c r="B1708" t="s">
        <v>8049</v>
      </c>
      <c r="C1708" t="s">
        <v>202</v>
      </c>
      <c r="E1708" t="s">
        <v>8050</v>
      </c>
      <c r="F1708">
        <v>3360</v>
      </c>
      <c r="G1708" t="s">
        <v>35</v>
      </c>
      <c r="H1708" t="s">
        <v>16</v>
      </c>
      <c r="I1708" t="s">
        <v>175</v>
      </c>
      <c r="J1708" t="s">
        <v>176</v>
      </c>
      <c r="K1708" t="s">
        <v>1809</v>
      </c>
      <c r="L1708" t="str">
        <f>HYPERLINK("https://business-monitor.ch/de/companies/437479-carrosserie-jost-gmbh?utm_source=oberaargau","PROFIL ANSEHEN")</f>
        <v>PROFIL ANSEHEN</v>
      </c>
    </row>
    <row r="1709" spans="1:12" x14ac:dyDescent="0.2">
      <c r="A1709" t="s">
        <v>12593</v>
      </c>
      <c r="B1709" t="s">
        <v>12594</v>
      </c>
      <c r="C1709" t="s">
        <v>1812</v>
      </c>
      <c r="E1709" t="s">
        <v>12595</v>
      </c>
      <c r="F1709">
        <v>3363</v>
      </c>
      <c r="G1709" t="s">
        <v>1367</v>
      </c>
      <c r="H1709" t="s">
        <v>16</v>
      </c>
      <c r="I1709" t="s">
        <v>2522</v>
      </c>
      <c r="J1709" t="s">
        <v>2523</v>
      </c>
      <c r="K1709" t="s">
        <v>1809</v>
      </c>
      <c r="L1709" t="str">
        <f>HYPERLINK("https://business-monitor.ch/de/companies/972563-anc-automobile-abdallah?utm_source=oberaargau","PROFIL ANSEHEN")</f>
        <v>PROFIL ANSEHEN</v>
      </c>
    </row>
    <row r="1710" spans="1:12" x14ac:dyDescent="0.2">
      <c r="A1710" t="s">
        <v>7132</v>
      </c>
      <c r="B1710" t="s">
        <v>7133</v>
      </c>
      <c r="C1710" t="s">
        <v>202</v>
      </c>
      <c r="E1710" t="s">
        <v>1834</v>
      </c>
      <c r="F1710">
        <v>3360</v>
      </c>
      <c r="G1710" t="s">
        <v>35</v>
      </c>
      <c r="H1710" t="s">
        <v>16</v>
      </c>
      <c r="I1710" t="s">
        <v>854</v>
      </c>
      <c r="J1710" t="s">
        <v>855</v>
      </c>
      <c r="K1710" t="s">
        <v>1809</v>
      </c>
      <c r="L1710" t="str">
        <f>HYPERLINK("https://business-monitor.ch/de/companies/645925-hivenet-gmbh?utm_source=oberaargau","PROFIL ANSEHEN")</f>
        <v>PROFIL ANSEHEN</v>
      </c>
    </row>
    <row r="1711" spans="1:12" x14ac:dyDescent="0.2">
      <c r="A1711" t="s">
        <v>11928</v>
      </c>
      <c r="B1711" t="s">
        <v>11929</v>
      </c>
      <c r="C1711" t="s">
        <v>1812</v>
      </c>
      <c r="D1711" t="s">
        <v>11930</v>
      </c>
      <c r="E1711" t="s">
        <v>11931</v>
      </c>
      <c r="F1711">
        <v>4938</v>
      </c>
      <c r="G1711" t="s">
        <v>618</v>
      </c>
      <c r="H1711" t="s">
        <v>16</v>
      </c>
      <c r="I1711" t="s">
        <v>289</v>
      </c>
      <c r="J1711" t="s">
        <v>290</v>
      </c>
      <c r="K1711" t="s">
        <v>1809</v>
      </c>
      <c r="L1711" t="str">
        <f>HYPERLINK("https://business-monitor.ch/de/companies/1123292-renovation-design-vergeiner?utm_source=oberaargau","PROFIL ANSEHEN")</f>
        <v>PROFIL ANSEHEN</v>
      </c>
    </row>
    <row r="1712" spans="1:12" x14ac:dyDescent="0.2">
      <c r="A1712" t="s">
        <v>11723</v>
      </c>
      <c r="B1712" t="s">
        <v>11724</v>
      </c>
      <c r="C1712" t="s">
        <v>1812</v>
      </c>
      <c r="E1712" t="s">
        <v>11725</v>
      </c>
      <c r="F1712">
        <v>4934</v>
      </c>
      <c r="G1712" t="s">
        <v>670</v>
      </c>
      <c r="H1712" t="s">
        <v>16</v>
      </c>
      <c r="I1712" t="s">
        <v>2365</v>
      </c>
      <c r="J1712" t="s">
        <v>2366</v>
      </c>
      <c r="K1712" t="s">
        <v>1809</v>
      </c>
      <c r="L1712" t="str">
        <f>HYPERLINK("https://business-monitor.ch/de/companies/1158728-andreas-zaugg-forstarbeiten?utm_source=oberaargau","PROFIL ANSEHEN")</f>
        <v>PROFIL ANSEHEN</v>
      </c>
    </row>
    <row r="1713" spans="1:12" x14ac:dyDescent="0.2">
      <c r="A1713" t="s">
        <v>11676</v>
      </c>
      <c r="B1713" t="s">
        <v>11677</v>
      </c>
      <c r="C1713" t="s">
        <v>202</v>
      </c>
      <c r="E1713" t="s">
        <v>11678</v>
      </c>
      <c r="F1713">
        <v>4950</v>
      </c>
      <c r="G1713" t="s">
        <v>15</v>
      </c>
      <c r="H1713" t="s">
        <v>16</v>
      </c>
      <c r="I1713" t="s">
        <v>854</v>
      </c>
      <c r="J1713" t="s">
        <v>855</v>
      </c>
      <c r="K1713" t="s">
        <v>1809</v>
      </c>
      <c r="L1713" t="str">
        <f>HYPERLINK("https://business-monitor.ch/de/companies/586172-kasoft-gmbh?utm_source=oberaargau","PROFIL ANSEHEN")</f>
        <v>PROFIL ANSEHEN</v>
      </c>
    </row>
    <row r="1714" spans="1:12" x14ac:dyDescent="0.2">
      <c r="A1714" t="s">
        <v>9606</v>
      </c>
      <c r="B1714" t="s">
        <v>9607</v>
      </c>
      <c r="C1714" t="s">
        <v>1812</v>
      </c>
      <c r="E1714" t="s">
        <v>2586</v>
      </c>
      <c r="F1714">
        <v>4952</v>
      </c>
      <c r="G1714" t="s">
        <v>474</v>
      </c>
      <c r="H1714" t="s">
        <v>16</v>
      </c>
      <c r="I1714" t="s">
        <v>1401</v>
      </c>
      <c r="J1714" t="s">
        <v>1402</v>
      </c>
      <c r="K1714" t="s">
        <v>1809</v>
      </c>
      <c r="L1714" t="str">
        <f>HYPERLINK("https://business-monitor.ch/de/companies/620800-bluetencharme-susanne-nyffeler?utm_source=oberaargau","PROFIL ANSEHEN")</f>
        <v>PROFIL ANSEHEN</v>
      </c>
    </row>
    <row r="1715" spans="1:12" x14ac:dyDescent="0.2">
      <c r="A1715" t="s">
        <v>7710</v>
      </c>
      <c r="B1715" t="s">
        <v>7711</v>
      </c>
      <c r="C1715" t="s">
        <v>1812</v>
      </c>
      <c r="E1715" t="s">
        <v>1244</v>
      </c>
      <c r="F1715">
        <v>4950</v>
      </c>
      <c r="G1715" t="s">
        <v>15</v>
      </c>
      <c r="H1715" t="s">
        <v>16</v>
      </c>
      <c r="I1715" t="s">
        <v>862</v>
      </c>
      <c r="J1715" t="s">
        <v>863</v>
      </c>
      <c r="K1715" t="s">
        <v>1809</v>
      </c>
      <c r="L1715" t="str">
        <f>HYPERLINK("https://business-monitor.ch/de/companies/607355-druckerei-graenicher?utm_source=oberaargau","PROFIL ANSEHEN")</f>
        <v>PROFIL ANSEHEN</v>
      </c>
    </row>
    <row r="1716" spans="1:12" x14ac:dyDescent="0.2">
      <c r="A1716" t="s">
        <v>9685</v>
      </c>
      <c r="B1716" t="s">
        <v>9686</v>
      </c>
      <c r="C1716" t="s">
        <v>1812</v>
      </c>
      <c r="E1716" t="s">
        <v>9687</v>
      </c>
      <c r="F1716">
        <v>4923</v>
      </c>
      <c r="G1716" t="s">
        <v>732</v>
      </c>
      <c r="H1716" t="s">
        <v>16</v>
      </c>
      <c r="I1716" t="s">
        <v>335</v>
      </c>
      <c r="J1716" t="s">
        <v>336</v>
      </c>
      <c r="K1716" t="s">
        <v>1809</v>
      </c>
      <c r="L1716" t="str">
        <f>HYPERLINK("https://business-monitor.ch/de/companies/677185-sound-light-iwan-schwarz?utm_source=oberaargau","PROFIL ANSEHEN")</f>
        <v>PROFIL ANSEHEN</v>
      </c>
    </row>
    <row r="1717" spans="1:12" x14ac:dyDescent="0.2">
      <c r="A1717" t="s">
        <v>9029</v>
      </c>
      <c r="B1717" t="s">
        <v>9030</v>
      </c>
      <c r="C1717" t="s">
        <v>202</v>
      </c>
      <c r="E1717" t="s">
        <v>559</v>
      </c>
      <c r="F1717">
        <v>4900</v>
      </c>
      <c r="G1717" t="s">
        <v>41</v>
      </c>
      <c r="H1717" t="s">
        <v>16</v>
      </c>
      <c r="I1717" t="s">
        <v>9031</v>
      </c>
      <c r="J1717" t="s">
        <v>9032</v>
      </c>
      <c r="K1717" t="s">
        <v>1809</v>
      </c>
      <c r="L1717" t="str">
        <f>HYPERLINK("https://business-monitor.ch/de/companies/218535-buchzeichen-buchhandlung-gmbh?utm_source=oberaargau","PROFIL ANSEHEN")</f>
        <v>PROFIL ANSEHEN</v>
      </c>
    </row>
    <row r="1718" spans="1:12" x14ac:dyDescent="0.2">
      <c r="A1718" t="s">
        <v>942</v>
      </c>
      <c r="B1718" t="s">
        <v>943</v>
      </c>
      <c r="C1718" t="s">
        <v>13</v>
      </c>
      <c r="E1718" t="s">
        <v>944</v>
      </c>
      <c r="F1718">
        <v>4954</v>
      </c>
      <c r="G1718" t="s">
        <v>359</v>
      </c>
      <c r="H1718" t="s">
        <v>16</v>
      </c>
      <c r="I1718" t="s">
        <v>464</v>
      </c>
      <c r="J1718" t="s">
        <v>465</v>
      </c>
      <c r="K1718" t="s">
        <v>1809</v>
      </c>
      <c r="L1718" t="str">
        <f>HYPERLINK("https://business-monitor.ch/de/companies/250819-baltensperger-transport-ag?utm_source=oberaargau","PROFIL ANSEHEN")</f>
        <v>PROFIL ANSEHEN</v>
      </c>
    </row>
    <row r="1719" spans="1:12" x14ac:dyDescent="0.2">
      <c r="A1719" t="s">
        <v>6514</v>
      </c>
      <c r="B1719" t="s">
        <v>6515</v>
      </c>
      <c r="C1719" t="s">
        <v>202</v>
      </c>
      <c r="E1719" t="s">
        <v>6516</v>
      </c>
      <c r="F1719">
        <v>4936</v>
      </c>
      <c r="G1719" t="s">
        <v>768</v>
      </c>
      <c r="H1719" t="s">
        <v>16</v>
      </c>
      <c r="I1719" t="s">
        <v>5788</v>
      </c>
      <c r="J1719" t="s">
        <v>5789</v>
      </c>
      <c r="K1719" t="s">
        <v>1809</v>
      </c>
      <c r="L1719" t="str">
        <f>HYPERLINK("https://business-monitor.ch/de/companies/239678-wohngemeinschaft-gaessli-gmbh?utm_source=oberaargau","PROFIL ANSEHEN")</f>
        <v>PROFIL ANSEHEN</v>
      </c>
    </row>
    <row r="1720" spans="1:12" x14ac:dyDescent="0.2">
      <c r="A1720" t="s">
        <v>8404</v>
      </c>
      <c r="B1720" t="s">
        <v>8405</v>
      </c>
      <c r="C1720" t="s">
        <v>13</v>
      </c>
      <c r="E1720" t="s">
        <v>10815</v>
      </c>
      <c r="F1720">
        <v>4900</v>
      </c>
      <c r="G1720" t="s">
        <v>41</v>
      </c>
      <c r="H1720" t="s">
        <v>16</v>
      </c>
      <c r="I1720" t="s">
        <v>935</v>
      </c>
      <c r="J1720" t="s">
        <v>936</v>
      </c>
      <c r="K1720" t="s">
        <v>1809</v>
      </c>
      <c r="L1720" t="str">
        <f>HYPERLINK("https://business-monitor.ch/de/companies/3683-schaffimo-ag?utm_source=oberaargau","PROFIL ANSEHEN")</f>
        <v>PROFIL ANSEHEN</v>
      </c>
    </row>
    <row r="1721" spans="1:12" x14ac:dyDescent="0.2">
      <c r="A1721" t="s">
        <v>7667</v>
      </c>
      <c r="B1721" t="s">
        <v>7668</v>
      </c>
      <c r="C1721" t="s">
        <v>1812</v>
      </c>
      <c r="E1721" t="s">
        <v>14473</v>
      </c>
      <c r="F1721">
        <v>4936</v>
      </c>
      <c r="G1721" t="s">
        <v>768</v>
      </c>
      <c r="H1721" t="s">
        <v>16</v>
      </c>
      <c r="I1721" t="s">
        <v>679</v>
      </c>
      <c r="J1721" t="s">
        <v>680</v>
      </c>
      <c r="K1721" t="s">
        <v>1809</v>
      </c>
      <c r="L1721" t="str">
        <f>HYPERLINK("https://business-monitor.ch/de/companies/626252-schreinerei-christoph-leuenberger?utm_source=oberaargau","PROFIL ANSEHEN")</f>
        <v>PROFIL ANSEHEN</v>
      </c>
    </row>
    <row r="1722" spans="1:12" x14ac:dyDescent="0.2">
      <c r="A1722" t="s">
        <v>11974</v>
      </c>
      <c r="B1722" t="s">
        <v>11975</v>
      </c>
      <c r="C1722" t="s">
        <v>1812</v>
      </c>
      <c r="E1722" t="s">
        <v>11976</v>
      </c>
      <c r="F1722">
        <v>4537</v>
      </c>
      <c r="G1722" t="s">
        <v>113</v>
      </c>
      <c r="H1722" t="s">
        <v>16</v>
      </c>
      <c r="I1722" t="s">
        <v>3514</v>
      </c>
      <c r="J1722" t="s">
        <v>3515</v>
      </c>
      <c r="K1722" t="s">
        <v>1809</v>
      </c>
      <c r="L1722" t="str">
        <f>HYPERLINK("https://business-monitor.ch/de/companies/1163584-massage-esther-uhlmann?utm_source=oberaargau","PROFIL ANSEHEN")</f>
        <v>PROFIL ANSEHEN</v>
      </c>
    </row>
    <row r="1723" spans="1:12" x14ac:dyDescent="0.2">
      <c r="A1723" t="s">
        <v>13689</v>
      </c>
      <c r="B1723" t="s">
        <v>13690</v>
      </c>
      <c r="C1723" t="s">
        <v>1812</v>
      </c>
      <c r="E1723" t="s">
        <v>7865</v>
      </c>
      <c r="F1723">
        <v>3380</v>
      </c>
      <c r="G1723" t="s">
        <v>29</v>
      </c>
      <c r="H1723" t="s">
        <v>16</v>
      </c>
      <c r="I1723" t="s">
        <v>1865</v>
      </c>
      <c r="J1723" t="s">
        <v>1866</v>
      </c>
      <c r="K1723" t="s">
        <v>1809</v>
      </c>
      <c r="L1723" t="str">
        <f>HYPERLINK("https://business-monitor.ch/de/companies/1197708-cec-hauswartungen-moyano-manduca?utm_source=oberaargau","PROFIL ANSEHEN")</f>
        <v>PROFIL ANSEHEN</v>
      </c>
    </row>
    <row r="1724" spans="1:12" x14ac:dyDescent="0.2">
      <c r="A1724" t="s">
        <v>9597</v>
      </c>
      <c r="B1724" t="s">
        <v>9598</v>
      </c>
      <c r="C1724" t="s">
        <v>1812</v>
      </c>
      <c r="E1724" t="s">
        <v>4024</v>
      </c>
      <c r="F1724">
        <v>4922</v>
      </c>
      <c r="G1724" t="s">
        <v>99</v>
      </c>
      <c r="H1724" t="s">
        <v>16</v>
      </c>
      <c r="I1724" t="s">
        <v>153</v>
      </c>
      <c r="J1724" t="s">
        <v>154</v>
      </c>
      <c r="K1724" t="s">
        <v>1809</v>
      </c>
      <c r="L1724" t="str">
        <f>HYPERLINK("https://business-monitor.ch/de/companies/724323-darko-miljkovic-engineering?utm_source=oberaargau","PROFIL ANSEHEN")</f>
        <v>PROFIL ANSEHEN</v>
      </c>
    </row>
    <row r="1725" spans="1:12" x14ac:dyDescent="0.2">
      <c r="A1725" t="s">
        <v>7561</v>
      </c>
      <c r="B1725" t="s">
        <v>7562</v>
      </c>
      <c r="C1725" t="s">
        <v>1812</v>
      </c>
      <c r="E1725" t="s">
        <v>7563</v>
      </c>
      <c r="F1725">
        <v>4704</v>
      </c>
      <c r="G1725" t="s">
        <v>221</v>
      </c>
      <c r="H1725" t="s">
        <v>16</v>
      </c>
      <c r="I1725" t="s">
        <v>1296</v>
      </c>
      <c r="J1725" t="s">
        <v>1297</v>
      </c>
      <c r="K1725" t="s">
        <v>1809</v>
      </c>
      <c r="L1725" t="str">
        <f>HYPERLINK("https://business-monitor.ch/de/companies/690521-e-commerce-baschung?utm_source=oberaargau","PROFIL ANSEHEN")</f>
        <v>PROFIL ANSEHEN</v>
      </c>
    </row>
    <row r="1726" spans="1:12" x14ac:dyDescent="0.2">
      <c r="A1726" t="s">
        <v>3874</v>
      </c>
      <c r="B1726" t="s">
        <v>3875</v>
      </c>
      <c r="C1726" t="s">
        <v>1812</v>
      </c>
      <c r="E1726" t="s">
        <v>1323</v>
      </c>
      <c r="F1726">
        <v>4922</v>
      </c>
      <c r="G1726" t="s">
        <v>99</v>
      </c>
      <c r="H1726" t="s">
        <v>16</v>
      </c>
      <c r="I1726" t="s">
        <v>800</v>
      </c>
      <c r="J1726" t="s">
        <v>801</v>
      </c>
      <c r="K1726" t="s">
        <v>1809</v>
      </c>
      <c r="L1726" t="str">
        <f>HYPERLINK("https://business-monitor.ch/de/companies/682658-oester-style?utm_source=oberaargau","PROFIL ANSEHEN")</f>
        <v>PROFIL ANSEHEN</v>
      </c>
    </row>
    <row r="1727" spans="1:12" x14ac:dyDescent="0.2">
      <c r="A1727" t="s">
        <v>7564</v>
      </c>
      <c r="B1727" t="s">
        <v>7565</v>
      </c>
      <c r="C1727" t="s">
        <v>13</v>
      </c>
      <c r="D1727" t="s">
        <v>7566</v>
      </c>
      <c r="E1727" t="s">
        <v>7567</v>
      </c>
      <c r="F1727">
        <v>4900</v>
      </c>
      <c r="G1727" t="s">
        <v>41</v>
      </c>
      <c r="H1727" t="s">
        <v>16</v>
      </c>
      <c r="I1727" t="s">
        <v>854</v>
      </c>
      <c r="J1727" t="s">
        <v>855</v>
      </c>
      <c r="K1727" t="s">
        <v>1809</v>
      </c>
      <c r="L1727" t="str">
        <f>HYPERLINK("https://business-monitor.ch/de/companies/689456-cenobit-ag?utm_source=oberaargau","PROFIL ANSEHEN")</f>
        <v>PROFIL ANSEHEN</v>
      </c>
    </row>
    <row r="1728" spans="1:12" x14ac:dyDescent="0.2">
      <c r="A1728" t="s">
        <v>10063</v>
      </c>
      <c r="B1728" t="s">
        <v>10064</v>
      </c>
      <c r="C1728" t="s">
        <v>1812</v>
      </c>
      <c r="E1728" t="s">
        <v>10065</v>
      </c>
      <c r="F1728">
        <v>4704</v>
      </c>
      <c r="G1728" t="s">
        <v>221</v>
      </c>
      <c r="H1728" t="s">
        <v>16</v>
      </c>
      <c r="I1728" t="s">
        <v>2522</v>
      </c>
      <c r="J1728" t="s">
        <v>2523</v>
      </c>
      <c r="K1728" t="s">
        <v>1809</v>
      </c>
      <c r="L1728" t="str">
        <f>HYPERLINK("https://business-monitor.ch/de/companies/694525-tschumiautomobile-inhaber-celik?utm_source=oberaargau","PROFIL ANSEHEN")</f>
        <v>PROFIL ANSEHEN</v>
      </c>
    </row>
    <row r="1729" spans="1:12" x14ac:dyDescent="0.2">
      <c r="A1729" t="s">
        <v>2407</v>
      </c>
      <c r="B1729" t="s">
        <v>2408</v>
      </c>
      <c r="C1729" t="s">
        <v>1812</v>
      </c>
      <c r="E1729" t="s">
        <v>2301</v>
      </c>
      <c r="F1729">
        <v>4914</v>
      </c>
      <c r="G1729" t="s">
        <v>105</v>
      </c>
      <c r="H1729" t="s">
        <v>16</v>
      </c>
      <c r="I1729" t="s">
        <v>824</v>
      </c>
      <c r="J1729" t="s">
        <v>825</v>
      </c>
      <c r="K1729" t="s">
        <v>1809</v>
      </c>
      <c r="L1729" t="str">
        <f>HYPERLINK("https://business-monitor.ch/de/companies/18412-berger-bruno?utm_source=oberaargau","PROFIL ANSEHEN")</f>
        <v>PROFIL ANSEHEN</v>
      </c>
    </row>
    <row r="1730" spans="1:12" x14ac:dyDescent="0.2">
      <c r="A1730" t="s">
        <v>3795</v>
      </c>
      <c r="B1730" t="s">
        <v>3796</v>
      </c>
      <c r="C1730" t="s">
        <v>1812</v>
      </c>
      <c r="E1730" t="s">
        <v>11091</v>
      </c>
      <c r="F1730">
        <v>3360</v>
      </c>
      <c r="G1730" t="s">
        <v>35</v>
      </c>
      <c r="H1730" t="s">
        <v>16</v>
      </c>
      <c r="I1730" t="s">
        <v>3797</v>
      </c>
      <c r="J1730" t="s">
        <v>3798</v>
      </c>
      <c r="K1730" t="s">
        <v>1809</v>
      </c>
      <c r="L1730" t="str">
        <f>HYPERLINK("https://business-monitor.ch/de/companies/682922-eigensinn-unikate-beatrice-broger?utm_source=oberaargau","PROFIL ANSEHEN")</f>
        <v>PROFIL ANSEHEN</v>
      </c>
    </row>
    <row r="1731" spans="1:12" x14ac:dyDescent="0.2">
      <c r="A1731" t="s">
        <v>8237</v>
      </c>
      <c r="B1731" t="s">
        <v>8238</v>
      </c>
      <c r="C1731" t="s">
        <v>1812</v>
      </c>
      <c r="F1731">
        <v>4937</v>
      </c>
      <c r="G1731" t="s">
        <v>951</v>
      </c>
      <c r="H1731" t="s">
        <v>16</v>
      </c>
      <c r="I1731" t="s">
        <v>824</v>
      </c>
      <c r="J1731" t="s">
        <v>825</v>
      </c>
      <c r="K1731" t="s">
        <v>1809</v>
      </c>
      <c r="L1731" t="str">
        <f>HYPERLINK("https://business-monitor.ch/de/companies/29817-gasthof-loewen-brand-thomas?utm_source=oberaargau","PROFIL ANSEHEN")</f>
        <v>PROFIL ANSEHEN</v>
      </c>
    </row>
    <row r="1732" spans="1:12" x14ac:dyDescent="0.2">
      <c r="A1732" t="s">
        <v>6845</v>
      </c>
      <c r="B1732" t="s">
        <v>6846</v>
      </c>
      <c r="C1732" t="s">
        <v>13</v>
      </c>
      <c r="F1732">
        <v>4954</v>
      </c>
      <c r="G1732" t="s">
        <v>359</v>
      </c>
      <c r="H1732" t="s">
        <v>16</v>
      </c>
      <c r="I1732" t="s">
        <v>331</v>
      </c>
      <c r="J1732" t="s">
        <v>332</v>
      </c>
      <c r="K1732" t="s">
        <v>1809</v>
      </c>
      <c r="L1732" t="str">
        <f>HYPERLINK("https://business-monitor.ch/de/companies/57957-fritz-ledermann-ag?utm_source=oberaargau","PROFIL ANSEHEN")</f>
        <v>PROFIL ANSEHEN</v>
      </c>
    </row>
    <row r="1733" spans="1:12" x14ac:dyDescent="0.2">
      <c r="A1733" t="s">
        <v>6842</v>
      </c>
      <c r="B1733" t="s">
        <v>6843</v>
      </c>
      <c r="C1733" t="s">
        <v>13</v>
      </c>
      <c r="E1733" t="s">
        <v>6844</v>
      </c>
      <c r="F1733">
        <v>4900</v>
      </c>
      <c r="G1733" t="s">
        <v>41</v>
      </c>
      <c r="H1733" t="s">
        <v>16</v>
      </c>
      <c r="I1733" t="s">
        <v>72</v>
      </c>
      <c r="J1733" t="s">
        <v>73</v>
      </c>
      <c r="K1733" t="s">
        <v>1809</v>
      </c>
      <c r="L1733" t="str">
        <f>HYPERLINK("https://business-monitor.ch/de/companies/59635-mb-holding-ag?utm_source=oberaargau","PROFIL ANSEHEN")</f>
        <v>PROFIL ANSEHEN</v>
      </c>
    </row>
    <row r="1734" spans="1:12" x14ac:dyDescent="0.2">
      <c r="A1734" t="s">
        <v>9976</v>
      </c>
      <c r="B1734" t="s">
        <v>9977</v>
      </c>
      <c r="C1734" t="s">
        <v>1812</v>
      </c>
      <c r="E1734" t="s">
        <v>9978</v>
      </c>
      <c r="F1734">
        <v>4704</v>
      </c>
      <c r="G1734" t="s">
        <v>221</v>
      </c>
      <c r="H1734" t="s">
        <v>16</v>
      </c>
      <c r="I1734" t="s">
        <v>157</v>
      </c>
      <c r="J1734" t="s">
        <v>158</v>
      </c>
      <c r="K1734" t="s">
        <v>1809</v>
      </c>
      <c r="L1734" t="str">
        <f>HYPERLINK("https://business-monitor.ch/de/companies/731097-hannes-egloff-immobilien?utm_source=oberaargau","PROFIL ANSEHEN")</f>
        <v>PROFIL ANSEHEN</v>
      </c>
    </row>
    <row r="1735" spans="1:12" x14ac:dyDescent="0.2">
      <c r="A1735" t="s">
        <v>7558</v>
      </c>
      <c r="B1735" t="s">
        <v>7559</v>
      </c>
      <c r="C1735" t="s">
        <v>202</v>
      </c>
      <c r="E1735" t="s">
        <v>3138</v>
      </c>
      <c r="F1735">
        <v>4537</v>
      </c>
      <c r="G1735" t="s">
        <v>113</v>
      </c>
      <c r="H1735" t="s">
        <v>16</v>
      </c>
      <c r="I1735" t="s">
        <v>1740</v>
      </c>
      <c r="J1735" t="s">
        <v>1741</v>
      </c>
      <c r="K1735" t="s">
        <v>1809</v>
      </c>
      <c r="L1735" t="str">
        <f>HYPERLINK("https://business-monitor.ch/de/companies/692259-allwoerker-gmbh?utm_source=oberaargau","PROFIL ANSEHEN")</f>
        <v>PROFIL ANSEHEN</v>
      </c>
    </row>
    <row r="1736" spans="1:12" x14ac:dyDescent="0.2">
      <c r="A1736" t="s">
        <v>13252</v>
      </c>
      <c r="B1736" t="s">
        <v>13253</v>
      </c>
      <c r="C1736" t="s">
        <v>1812</v>
      </c>
      <c r="E1736" t="s">
        <v>13254</v>
      </c>
      <c r="F1736">
        <v>4537</v>
      </c>
      <c r="G1736" t="s">
        <v>113</v>
      </c>
      <c r="H1736" t="s">
        <v>16</v>
      </c>
      <c r="I1736" t="s">
        <v>629</v>
      </c>
      <c r="J1736" t="s">
        <v>630</v>
      </c>
      <c r="K1736" t="s">
        <v>1809</v>
      </c>
      <c r="L1736" t="str">
        <f>HYPERLINK("https://business-monitor.ch/de/companies/1189108-phil-sommer-media?utm_source=oberaargau","PROFIL ANSEHEN")</f>
        <v>PROFIL ANSEHEN</v>
      </c>
    </row>
    <row r="1737" spans="1:12" x14ac:dyDescent="0.2">
      <c r="A1737" t="s">
        <v>4462</v>
      </c>
      <c r="B1737" t="s">
        <v>4463</v>
      </c>
      <c r="C1737" t="s">
        <v>202</v>
      </c>
      <c r="E1737" t="s">
        <v>4464</v>
      </c>
      <c r="F1737">
        <v>4913</v>
      </c>
      <c r="G1737" t="s">
        <v>207</v>
      </c>
      <c r="H1737" t="s">
        <v>16</v>
      </c>
      <c r="I1737" t="s">
        <v>542</v>
      </c>
      <c r="J1737" t="s">
        <v>543</v>
      </c>
      <c r="K1737" t="s">
        <v>1809</v>
      </c>
      <c r="L1737" t="str">
        <f>HYPERLINK("https://business-monitor.ch/de/companies/722843-a-l-spenglerei-gmbh?utm_source=oberaargau","PROFIL ANSEHEN")</f>
        <v>PROFIL ANSEHEN</v>
      </c>
    </row>
    <row r="1738" spans="1:12" x14ac:dyDescent="0.2">
      <c r="A1738" t="s">
        <v>4527</v>
      </c>
      <c r="B1738" t="s">
        <v>4528</v>
      </c>
      <c r="C1738" t="s">
        <v>202</v>
      </c>
      <c r="E1738" t="s">
        <v>4529</v>
      </c>
      <c r="F1738">
        <v>4704</v>
      </c>
      <c r="G1738" t="s">
        <v>221</v>
      </c>
      <c r="H1738" t="s">
        <v>16</v>
      </c>
      <c r="I1738" t="s">
        <v>662</v>
      </c>
      <c r="J1738" t="s">
        <v>663</v>
      </c>
      <c r="K1738" t="s">
        <v>1809</v>
      </c>
      <c r="L1738" t="str">
        <f>HYPERLINK("https://business-monitor.ch/de/companies/681236-ms-bedachungen-und-fassadenbau-gmbh?utm_source=oberaargau","PROFIL ANSEHEN")</f>
        <v>PROFIL ANSEHEN</v>
      </c>
    </row>
    <row r="1739" spans="1:12" x14ac:dyDescent="0.2">
      <c r="A1739" t="s">
        <v>7483</v>
      </c>
      <c r="B1739" t="s">
        <v>7484</v>
      </c>
      <c r="C1739" t="s">
        <v>202</v>
      </c>
      <c r="E1739" t="s">
        <v>7485</v>
      </c>
      <c r="F1739">
        <v>4536</v>
      </c>
      <c r="G1739" t="s">
        <v>1395</v>
      </c>
      <c r="H1739" t="s">
        <v>16</v>
      </c>
      <c r="I1739" t="s">
        <v>2213</v>
      </c>
      <c r="J1739" t="s">
        <v>2214</v>
      </c>
      <c r="K1739" t="s">
        <v>1809</v>
      </c>
      <c r="L1739" t="str">
        <f>HYPERLINK("https://business-monitor.ch/de/companies/729571-alexandre-chopard-gmbh?utm_source=oberaargau","PROFIL ANSEHEN")</f>
        <v>PROFIL ANSEHEN</v>
      </c>
    </row>
    <row r="1740" spans="1:12" x14ac:dyDescent="0.2">
      <c r="A1740" t="s">
        <v>7581</v>
      </c>
      <c r="B1740" t="s">
        <v>7582</v>
      </c>
      <c r="C1740" t="s">
        <v>202</v>
      </c>
      <c r="D1740" t="s">
        <v>7583</v>
      </c>
      <c r="E1740" t="s">
        <v>1639</v>
      </c>
      <c r="F1740">
        <v>3373</v>
      </c>
      <c r="G1740" t="s">
        <v>2429</v>
      </c>
      <c r="H1740" t="s">
        <v>16</v>
      </c>
      <c r="I1740" t="s">
        <v>72</v>
      </c>
      <c r="J1740" t="s">
        <v>73</v>
      </c>
      <c r="K1740" t="s">
        <v>1809</v>
      </c>
      <c r="L1740" t="str">
        <f>HYPERLINK("https://business-monitor.ch/de/companies/682798-st-group-gmbh?utm_source=oberaargau","PROFIL ANSEHEN")</f>
        <v>PROFIL ANSEHEN</v>
      </c>
    </row>
    <row r="1741" spans="1:12" x14ac:dyDescent="0.2">
      <c r="A1741" t="s">
        <v>5222</v>
      </c>
      <c r="B1741" t="s">
        <v>5223</v>
      </c>
      <c r="C1741" t="s">
        <v>13</v>
      </c>
      <c r="E1741" t="s">
        <v>5224</v>
      </c>
      <c r="F1741">
        <v>3373</v>
      </c>
      <c r="G1741" t="s">
        <v>2429</v>
      </c>
      <c r="H1741" t="s">
        <v>16</v>
      </c>
      <c r="I1741" t="s">
        <v>1598</v>
      </c>
      <c r="J1741" t="s">
        <v>1599</v>
      </c>
      <c r="K1741" t="s">
        <v>1809</v>
      </c>
      <c r="L1741" t="str">
        <f>HYPERLINK("https://business-monitor.ch/de/companies/957138-fleischwerkstatt-roethenbach-ag?utm_source=oberaargau","PROFIL ANSEHEN")</f>
        <v>PROFIL ANSEHEN</v>
      </c>
    </row>
    <row r="1742" spans="1:12" x14ac:dyDescent="0.2">
      <c r="A1742" t="s">
        <v>12431</v>
      </c>
      <c r="B1742" t="s">
        <v>12432</v>
      </c>
      <c r="C1742" t="s">
        <v>202</v>
      </c>
      <c r="E1742" t="s">
        <v>12433</v>
      </c>
      <c r="F1742">
        <v>4938</v>
      </c>
      <c r="G1742" t="s">
        <v>618</v>
      </c>
      <c r="H1742" t="s">
        <v>16</v>
      </c>
      <c r="I1742" t="s">
        <v>1852</v>
      </c>
      <c r="J1742" t="s">
        <v>1853</v>
      </c>
      <c r="K1742" t="s">
        <v>1809</v>
      </c>
      <c r="L1742" t="str">
        <f>HYPERLINK("https://business-monitor.ch/de/companies/1201320-opera-bau-gmbh?utm_source=oberaargau","PROFIL ANSEHEN")</f>
        <v>PROFIL ANSEHEN</v>
      </c>
    </row>
    <row r="1743" spans="1:12" x14ac:dyDescent="0.2">
      <c r="A1743" t="s">
        <v>12696</v>
      </c>
      <c r="B1743" t="s">
        <v>12697</v>
      </c>
      <c r="C1743" t="s">
        <v>1812</v>
      </c>
      <c r="E1743" t="s">
        <v>12698</v>
      </c>
      <c r="F1743">
        <v>4922</v>
      </c>
      <c r="G1743" t="s">
        <v>99</v>
      </c>
      <c r="H1743" t="s">
        <v>16</v>
      </c>
      <c r="I1743" t="s">
        <v>570</v>
      </c>
      <c r="J1743" t="s">
        <v>571</v>
      </c>
      <c r="K1743" t="s">
        <v>1809</v>
      </c>
      <c r="L1743" t="str">
        <f>HYPERLINK("https://business-monitor.ch/de/companies/1204582-uebelhart-haustechnik?utm_source=oberaargau","PROFIL ANSEHEN")</f>
        <v>PROFIL ANSEHEN</v>
      </c>
    </row>
    <row r="1744" spans="1:12" x14ac:dyDescent="0.2">
      <c r="A1744" t="s">
        <v>12217</v>
      </c>
      <c r="B1744" t="s">
        <v>12218</v>
      </c>
      <c r="C1744" t="s">
        <v>1812</v>
      </c>
      <c r="E1744" t="s">
        <v>7194</v>
      </c>
      <c r="F1744">
        <v>3360</v>
      </c>
      <c r="G1744" t="s">
        <v>35</v>
      </c>
      <c r="H1744" t="s">
        <v>16</v>
      </c>
      <c r="I1744" t="s">
        <v>2231</v>
      </c>
      <c r="J1744" t="s">
        <v>2232</v>
      </c>
      <c r="K1744" t="s">
        <v>1809</v>
      </c>
      <c r="L1744" t="str">
        <f>HYPERLINK("https://business-monitor.ch/de/companies/1186034-buchsi-malerei-kocijan?utm_source=oberaargau","PROFIL ANSEHEN")</f>
        <v>PROFIL ANSEHEN</v>
      </c>
    </row>
    <row r="1745" spans="1:12" x14ac:dyDescent="0.2">
      <c r="A1745" t="s">
        <v>12364</v>
      </c>
      <c r="B1745" t="s">
        <v>12365</v>
      </c>
      <c r="C1745" t="s">
        <v>1812</v>
      </c>
      <c r="E1745" t="s">
        <v>11297</v>
      </c>
      <c r="F1745">
        <v>4943</v>
      </c>
      <c r="G1745" t="s">
        <v>1022</v>
      </c>
      <c r="H1745" t="s">
        <v>16</v>
      </c>
      <c r="I1745" t="s">
        <v>8345</v>
      </c>
      <c r="J1745" t="s">
        <v>8346</v>
      </c>
      <c r="K1745" t="s">
        <v>1809</v>
      </c>
      <c r="L1745" t="str">
        <f>HYPERLINK("https://business-monitor.ch/de/companies/1196728-pflanzenschaetze-gabriel-hess?utm_source=oberaargau","PROFIL ANSEHEN")</f>
        <v>PROFIL ANSEHEN</v>
      </c>
    </row>
    <row r="1746" spans="1:12" x14ac:dyDescent="0.2">
      <c r="A1746" t="s">
        <v>12324</v>
      </c>
      <c r="B1746" t="s">
        <v>12325</v>
      </c>
      <c r="C1746" t="s">
        <v>1812</v>
      </c>
      <c r="E1746" t="s">
        <v>12326</v>
      </c>
      <c r="F1746">
        <v>4911</v>
      </c>
      <c r="G1746" t="s">
        <v>1005</v>
      </c>
      <c r="H1746" t="s">
        <v>16</v>
      </c>
      <c r="I1746" t="s">
        <v>1296</v>
      </c>
      <c r="J1746" t="s">
        <v>1297</v>
      </c>
      <c r="K1746" t="s">
        <v>1809</v>
      </c>
      <c r="L1746" t="str">
        <f>HYPERLINK("https://business-monitor.ch/de/companies/1190284-buehlmann-werbetechnik?utm_source=oberaargau","PROFIL ANSEHEN")</f>
        <v>PROFIL ANSEHEN</v>
      </c>
    </row>
    <row r="1747" spans="1:12" x14ac:dyDescent="0.2">
      <c r="A1747" t="s">
        <v>12095</v>
      </c>
      <c r="B1747" t="s">
        <v>12096</v>
      </c>
      <c r="C1747" t="s">
        <v>202</v>
      </c>
      <c r="E1747" t="s">
        <v>12097</v>
      </c>
      <c r="F1747">
        <v>3373</v>
      </c>
      <c r="G1747" t="s">
        <v>2429</v>
      </c>
      <c r="H1747" t="s">
        <v>16</v>
      </c>
      <c r="I1747" t="s">
        <v>1535</v>
      </c>
      <c r="J1747" t="s">
        <v>1536</v>
      </c>
      <c r="K1747" t="s">
        <v>1809</v>
      </c>
      <c r="L1747" t="str">
        <f>HYPERLINK("https://business-monitor.ch/de/companies/1184120-wurzelstockentfernen-ch-gmbh?utm_source=oberaargau","PROFIL ANSEHEN")</f>
        <v>PROFIL ANSEHEN</v>
      </c>
    </row>
    <row r="1748" spans="1:12" x14ac:dyDescent="0.2">
      <c r="A1748" t="s">
        <v>7955</v>
      </c>
      <c r="B1748" t="s">
        <v>7956</v>
      </c>
      <c r="C1748" t="s">
        <v>13</v>
      </c>
      <c r="E1748" t="s">
        <v>491</v>
      </c>
      <c r="F1748">
        <v>4900</v>
      </c>
      <c r="G1748" t="s">
        <v>41</v>
      </c>
      <c r="H1748" t="s">
        <v>16</v>
      </c>
      <c r="I1748" t="s">
        <v>260</v>
      </c>
      <c r="J1748" t="s">
        <v>261</v>
      </c>
      <c r="K1748" t="s">
        <v>1809</v>
      </c>
      <c r="L1748" t="str">
        <f>HYPERLINK("https://business-monitor.ch/de/companies/368072-hasenfratz-strebel-architekten-ag?utm_source=oberaargau","PROFIL ANSEHEN")</f>
        <v>PROFIL ANSEHEN</v>
      </c>
    </row>
    <row r="1749" spans="1:12" x14ac:dyDescent="0.2">
      <c r="A1749" t="s">
        <v>3270</v>
      </c>
      <c r="B1749" t="s">
        <v>3271</v>
      </c>
      <c r="C1749" t="s">
        <v>1922</v>
      </c>
      <c r="E1749" t="s">
        <v>12184</v>
      </c>
      <c r="F1749">
        <v>4900</v>
      </c>
      <c r="G1749" t="s">
        <v>41</v>
      </c>
      <c r="H1749" t="s">
        <v>16</v>
      </c>
      <c r="I1749" t="s">
        <v>3272</v>
      </c>
      <c r="J1749" t="s">
        <v>3273</v>
      </c>
      <c r="K1749" t="s">
        <v>1809</v>
      </c>
      <c r="L1749" t="str">
        <f>HYPERLINK("https://business-monitor.ch/de/companies/250461-sis-sikh-stiftung-schweiz?utm_source=oberaargau","PROFIL ANSEHEN")</f>
        <v>PROFIL ANSEHEN</v>
      </c>
    </row>
    <row r="1750" spans="1:12" x14ac:dyDescent="0.2">
      <c r="A1750" t="s">
        <v>13059</v>
      </c>
      <c r="B1750" t="s">
        <v>13060</v>
      </c>
      <c r="C1750" t="s">
        <v>1812</v>
      </c>
      <c r="E1750" t="s">
        <v>13061</v>
      </c>
      <c r="F1750">
        <v>3360</v>
      </c>
      <c r="G1750" t="s">
        <v>35</v>
      </c>
      <c r="H1750" t="s">
        <v>16</v>
      </c>
      <c r="I1750" t="s">
        <v>134</v>
      </c>
      <c r="J1750" t="s">
        <v>135</v>
      </c>
      <c r="K1750" t="s">
        <v>1809</v>
      </c>
      <c r="L1750" t="str">
        <f>HYPERLINK("https://business-monitor.ch/de/companies/949978-aaron-meyer-am-electrical-services?utm_source=oberaargau","PROFIL ANSEHEN")</f>
        <v>PROFIL ANSEHEN</v>
      </c>
    </row>
    <row r="1751" spans="1:12" x14ac:dyDescent="0.2">
      <c r="A1751" t="s">
        <v>8385</v>
      </c>
      <c r="B1751" t="s">
        <v>9369</v>
      </c>
      <c r="C1751" t="s">
        <v>84</v>
      </c>
      <c r="D1751" t="s">
        <v>9370</v>
      </c>
      <c r="E1751" t="s">
        <v>9371</v>
      </c>
      <c r="F1751">
        <v>3366</v>
      </c>
      <c r="G1751" t="s">
        <v>728</v>
      </c>
      <c r="H1751" t="s">
        <v>16</v>
      </c>
      <c r="I1751" t="s">
        <v>386</v>
      </c>
      <c r="J1751" t="s">
        <v>387</v>
      </c>
      <c r="K1751" t="s">
        <v>1809</v>
      </c>
      <c r="L1751" t="str">
        <f>HYPERLINK("https://business-monitor.ch/de/companies/68534-brunnengenossenschaft-bollodingen?utm_source=oberaargau","PROFIL ANSEHEN")</f>
        <v>PROFIL ANSEHEN</v>
      </c>
    </row>
    <row r="1752" spans="1:12" x14ac:dyDescent="0.2">
      <c r="A1752" t="s">
        <v>2222</v>
      </c>
      <c r="B1752" t="s">
        <v>2223</v>
      </c>
      <c r="C1752" t="s">
        <v>13</v>
      </c>
      <c r="E1752" t="s">
        <v>1824</v>
      </c>
      <c r="F1752">
        <v>4704</v>
      </c>
      <c r="G1752" t="s">
        <v>221</v>
      </c>
      <c r="H1752" t="s">
        <v>16</v>
      </c>
      <c r="I1752" t="s">
        <v>175</v>
      </c>
      <c r="J1752" t="s">
        <v>176</v>
      </c>
      <c r="K1752" t="s">
        <v>1809</v>
      </c>
      <c r="L1752" t="str">
        <f>HYPERLINK("https://business-monitor.ch/de/companies/580334-autocenter-fatjani-ag?utm_source=oberaargau","PROFIL ANSEHEN")</f>
        <v>PROFIL ANSEHEN</v>
      </c>
    </row>
    <row r="1753" spans="1:12" x14ac:dyDescent="0.2">
      <c r="A1753" t="s">
        <v>5691</v>
      </c>
      <c r="B1753" t="s">
        <v>5692</v>
      </c>
      <c r="C1753" t="s">
        <v>1812</v>
      </c>
      <c r="E1753" t="s">
        <v>2862</v>
      </c>
      <c r="F1753">
        <v>4900</v>
      </c>
      <c r="G1753" t="s">
        <v>41</v>
      </c>
      <c r="H1753" t="s">
        <v>16</v>
      </c>
      <c r="I1753" t="s">
        <v>331</v>
      </c>
      <c r="J1753" t="s">
        <v>332</v>
      </c>
      <c r="K1753" t="s">
        <v>1809</v>
      </c>
      <c r="L1753" t="str">
        <f>HYPERLINK("https://business-monitor.ch/de/companies/155828-wuethrich-h-p?utm_source=oberaargau","PROFIL ANSEHEN")</f>
        <v>PROFIL ANSEHEN</v>
      </c>
    </row>
    <row r="1754" spans="1:12" x14ac:dyDescent="0.2">
      <c r="A1754" t="s">
        <v>6628</v>
      </c>
      <c r="B1754" t="s">
        <v>6629</v>
      </c>
      <c r="C1754" t="s">
        <v>1812</v>
      </c>
      <c r="E1754" t="s">
        <v>6630</v>
      </c>
      <c r="F1754">
        <v>3360</v>
      </c>
      <c r="G1754" t="s">
        <v>35</v>
      </c>
      <c r="H1754" t="s">
        <v>16</v>
      </c>
      <c r="I1754" t="s">
        <v>1924</v>
      </c>
      <c r="J1754" t="s">
        <v>1925</v>
      </c>
      <c r="K1754" t="s">
        <v>1809</v>
      </c>
      <c r="L1754" t="str">
        <f>HYPERLINK("https://business-monitor.ch/de/companies/186669-accorda-musikverlag-edition-thoeni-inhaber-steiner-zeller?utm_source=oberaargau","PROFIL ANSEHEN")</f>
        <v>PROFIL ANSEHEN</v>
      </c>
    </row>
    <row r="1755" spans="1:12" x14ac:dyDescent="0.2">
      <c r="A1755" t="s">
        <v>13153</v>
      </c>
      <c r="B1755" t="s">
        <v>13154</v>
      </c>
      <c r="C1755" t="s">
        <v>202</v>
      </c>
      <c r="E1755" t="s">
        <v>13155</v>
      </c>
      <c r="F1755">
        <v>3360</v>
      </c>
      <c r="G1755" t="s">
        <v>35</v>
      </c>
      <c r="H1755" t="s">
        <v>16</v>
      </c>
      <c r="I1755" t="s">
        <v>340</v>
      </c>
      <c r="J1755" t="s">
        <v>341</v>
      </c>
      <c r="K1755" t="s">
        <v>1809</v>
      </c>
      <c r="L1755" t="str">
        <f>HYPERLINK("https://business-monitor.ch/de/companies/1231577-mailito-gmbh?utm_source=oberaargau","PROFIL ANSEHEN")</f>
        <v>PROFIL ANSEHEN</v>
      </c>
    </row>
    <row r="1756" spans="1:12" x14ac:dyDescent="0.2">
      <c r="A1756" t="s">
        <v>9317</v>
      </c>
      <c r="B1756" t="s">
        <v>9318</v>
      </c>
      <c r="C1756" t="s">
        <v>84</v>
      </c>
      <c r="D1756" t="s">
        <v>9319</v>
      </c>
      <c r="E1756" t="s">
        <v>9320</v>
      </c>
      <c r="F1756">
        <v>4954</v>
      </c>
      <c r="G1756" t="s">
        <v>359</v>
      </c>
      <c r="H1756" t="s">
        <v>16</v>
      </c>
      <c r="I1756" t="s">
        <v>640</v>
      </c>
      <c r="J1756" t="s">
        <v>641</v>
      </c>
      <c r="K1756" t="s">
        <v>1809</v>
      </c>
      <c r="L1756" t="str">
        <f>HYPERLINK("https://business-monitor.ch/de/companies/92750-milchgenossenschaft-heimigen?utm_source=oberaargau","PROFIL ANSEHEN")</f>
        <v>PROFIL ANSEHEN</v>
      </c>
    </row>
    <row r="1757" spans="1:12" x14ac:dyDescent="0.2">
      <c r="A1757" t="s">
        <v>9313</v>
      </c>
      <c r="B1757" t="s">
        <v>9314</v>
      </c>
      <c r="C1757" t="s">
        <v>84</v>
      </c>
      <c r="D1757" t="s">
        <v>9315</v>
      </c>
      <c r="E1757" t="s">
        <v>9316</v>
      </c>
      <c r="F1757">
        <v>4950</v>
      </c>
      <c r="G1757" t="s">
        <v>15</v>
      </c>
      <c r="H1757" t="s">
        <v>16</v>
      </c>
      <c r="I1757" t="s">
        <v>344</v>
      </c>
      <c r="J1757" t="s">
        <v>345</v>
      </c>
      <c r="K1757" t="s">
        <v>1809</v>
      </c>
      <c r="L1757" t="str">
        <f>HYPERLINK("https://business-monitor.ch/de/companies/92802-kaesereigenossenschaft-im-weierhaus-bei-huttwil?utm_source=oberaargau","PROFIL ANSEHEN")</f>
        <v>PROFIL ANSEHEN</v>
      </c>
    </row>
    <row r="1758" spans="1:12" x14ac:dyDescent="0.2">
      <c r="A1758" t="s">
        <v>9182</v>
      </c>
      <c r="B1758" t="s">
        <v>9183</v>
      </c>
      <c r="C1758" t="s">
        <v>13</v>
      </c>
      <c r="E1758" t="s">
        <v>13018</v>
      </c>
      <c r="F1758">
        <v>4537</v>
      </c>
      <c r="G1758" t="s">
        <v>113</v>
      </c>
      <c r="H1758" t="s">
        <v>16</v>
      </c>
      <c r="I1758" t="s">
        <v>935</v>
      </c>
      <c r="J1758" t="s">
        <v>936</v>
      </c>
      <c r="K1758" t="s">
        <v>1809</v>
      </c>
      <c r="L1758" t="str">
        <f>HYPERLINK("https://business-monitor.ch/de/companies/155810-weingartenweg-ag?utm_source=oberaargau","PROFIL ANSEHEN")</f>
        <v>PROFIL ANSEHEN</v>
      </c>
    </row>
    <row r="1759" spans="1:12" x14ac:dyDescent="0.2">
      <c r="A1759" t="s">
        <v>6587</v>
      </c>
      <c r="B1759" t="s">
        <v>6588</v>
      </c>
      <c r="C1759" t="s">
        <v>1812</v>
      </c>
      <c r="E1759" t="s">
        <v>6589</v>
      </c>
      <c r="F1759">
        <v>4950</v>
      </c>
      <c r="G1759" t="s">
        <v>15</v>
      </c>
      <c r="H1759" t="s">
        <v>16</v>
      </c>
      <c r="I1759" t="s">
        <v>807</v>
      </c>
      <c r="J1759" t="s">
        <v>808</v>
      </c>
      <c r="K1759" t="s">
        <v>1809</v>
      </c>
      <c r="L1759" t="str">
        <f>HYPERLINK("https://business-monitor.ch/de/companies/209922-daniel-minder-sortimel-apparatebau?utm_source=oberaargau","PROFIL ANSEHEN")</f>
        <v>PROFIL ANSEHEN</v>
      </c>
    </row>
    <row r="1760" spans="1:12" x14ac:dyDescent="0.2">
      <c r="A1760" t="s">
        <v>9102</v>
      </c>
      <c r="B1760" t="s">
        <v>9103</v>
      </c>
      <c r="C1760" t="s">
        <v>13</v>
      </c>
      <c r="E1760" t="s">
        <v>3154</v>
      </c>
      <c r="F1760">
        <v>3360</v>
      </c>
      <c r="G1760" t="s">
        <v>35</v>
      </c>
      <c r="H1760" t="s">
        <v>16</v>
      </c>
      <c r="I1760" t="s">
        <v>1446</v>
      </c>
      <c r="J1760" t="s">
        <v>1447</v>
      </c>
      <c r="K1760" t="s">
        <v>1809</v>
      </c>
      <c r="L1760" t="str">
        <f>HYPERLINK("https://business-monitor.ch/de/companies/173752-elsaesser-ag?utm_source=oberaargau","PROFIL ANSEHEN")</f>
        <v>PROFIL ANSEHEN</v>
      </c>
    </row>
    <row r="1761" spans="1:12" x14ac:dyDescent="0.2">
      <c r="A1761" t="s">
        <v>3353</v>
      </c>
      <c r="B1761" t="s">
        <v>3354</v>
      </c>
      <c r="C1761" t="s">
        <v>2010</v>
      </c>
      <c r="E1761" t="s">
        <v>3355</v>
      </c>
      <c r="F1761">
        <v>4917</v>
      </c>
      <c r="G1761" t="s">
        <v>376</v>
      </c>
      <c r="H1761" t="s">
        <v>16</v>
      </c>
      <c r="I1761" t="s">
        <v>1278</v>
      </c>
      <c r="J1761" t="s">
        <v>1279</v>
      </c>
      <c r="K1761" t="s">
        <v>1809</v>
      </c>
      <c r="L1761" t="str">
        <f>HYPERLINK("https://business-monitor.ch/de/companies/210469-jenzer-co?utm_source=oberaargau","PROFIL ANSEHEN")</f>
        <v>PROFIL ANSEHEN</v>
      </c>
    </row>
    <row r="1762" spans="1:12" x14ac:dyDescent="0.2">
      <c r="A1762" t="s">
        <v>5475</v>
      </c>
      <c r="B1762" t="s">
        <v>5476</v>
      </c>
      <c r="C1762" t="s">
        <v>1812</v>
      </c>
      <c r="E1762" t="s">
        <v>5477</v>
      </c>
      <c r="F1762">
        <v>4914</v>
      </c>
      <c r="G1762" t="s">
        <v>717</v>
      </c>
      <c r="H1762" t="s">
        <v>16</v>
      </c>
      <c r="I1762" t="s">
        <v>2045</v>
      </c>
      <c r="J1762" t="s">
        <v>2046</v>
      </c>
      <c r="K1762" t="s">
        <v>1809</v>
      </c>
      <c r="L1762" t="str">
        <f>HYPERLINK("https://business-monitor.ch/de/companies/176452-niklaus-twerenbold-goldschmied-juwelier?utm_source=oberaargau","PROFIL ANSEHEN")</f>
        <v>PROFIL ANSEHEN</v>
      </c>
    </row>
    <row r="1763" spans="1:12" x14ac:dyDescent="0.2">
      <c r="A1763" t="s">
        <v>6602</v>
      </c>
      <c r="B1763" t="s">
        <v>9039</v>
      </c>
      <c r="C1763" t="s">
        <v>1812</v>
      </c>
      <c r="E1763" t="s">
        <v>9040</v>
      </c>
      <c r="F1763">
        <v>3360</v>
      </c>
      <c r="G1763" t="s">
        <v>35</v>
      </c>
      <c r="H1763" t="s">
        <v>16</v>
      </c>
      <c r="I1763" t="s">
        <v>1193</v>
      </c>
      <c r="J1763" t="s">
        <v>1194</v>
      </c>
      <c r="K1763" t="s">
        <v>1809</v>
      </c>
      <c r="L1763" t="str">
        <f>HYPERLINK("https://business-monitor.ch/de/companies/212886-m-e-consulting-heinz-buerki?utm_source=oberaargau","PROFIL ANSEHEN")</f>
        <v>PROFIL ANSEHEN</v>
      </c>
    </row>
    <row r="1764" spans="1:12" x14ac:dyDescent="0.2">
      <c r="A1764" t="s">
        <v>9635</v>
      </c>
      <c r="B1764" t="s">
        <v>9636</v>
      </c>
      <c r="C1764" t="s">
        <v>1812</v>
      </c>
      <c r="E1764" t="s">
        <v>9637</v>
      </c>
      <c r="F1764">
        <v>4950</v>
      </c>
      <c r="G1764" t="s">
        <v>15</v>
      </c>
      <c r="H1764" t="s">
        <v>16</v>
      </c>
      <c r="I1764" t="s">
        <v>1062</v>
      </c>
      <c r="J1764" t="s">
        <v>1063</v>
      </c>
      <c r="K1764" t="s">
        <v>1809</v>
      </c>
      <c r="L1764" t="str">
        <f>HYPERLINK("https://business-monitor.ch/de/companies/1049966-vulaj-plattenbelaege?utm_source=oberaargau","PROFIL ANSEHEN")</f>
        <v>PROFIL ANSEHEN</v>
      </c>
    </row>
    <row r="1765" spans="1:12" x14ac:dyDescent="0.2">
      <c r="A1765" t="s">
        <v>12940</v>
      </c>
      <c r="B1765" t="s">
        <v>12941</v>
      </c>
      <c r="C1765" t="s">
        <v>2178</v>
      </c>
      <c r="D1765" t="s">
        <v>12942</v>
      </c>
      <c r="E1765" t="s">
        <v>12943</v>
      </c>
      <c r="F1765">
        <v>3368</v>
      </c>
      <c r="G1765" t="s">
        <v>308</v>
      </c>
      <c r="H1765" t="s">
        <v>16</v>
      </c>
      <c r="I1765" t="s">
        <v>1062</v>
      </c>
      <c r="J1765" t="s">
        <v>1063</v>
      </c>
      <c r="K1765" t="s">
        <v>1809</v>
      </c>
      <c r="L1765" t="str">
        <f>HYPERLINK("https://business-monitor.ch/de/companies/1215232-oschwald-platten-ag-zweigniederlassung-bleienbach?utm_source=oberaargau","PROFIL ANSEHEN")</f>
        <v>PROFIL ANSEHEN</v>
      </c>
    </row>
    <row r="1766" spans="1:12" x14ac:dyDescent="0.2">
      <c r="A1766" t="s">
        <v>3541</v>
      </c>
      <c r="B1766" t="s">
        <v>3542</v>
      </c>
      <c r="C1766" t="s">
        <v>202</v>
      </c>
      <c r="E1766" t="s">
        <v>2085</v>
      </c>
      <c r="F1766">
        <v>4914</v>
      </c>
      <c r="G1766" t="s">
        <v>105</v>
      </c>
      <c r="H1766" t="s">
        <v>16</v>
      </c>
      <c r="I1766" t="s">
        <v>24</v>
      </c>
      <c r="J1766" t="s">
        <v>25</v>
      </c>
      <c r="K1766" t="s">
        <v>1809</v>
      </c>
      <c r="L1766" t="str">
        <f>HYPERLINK("https://business-monitor.ch/de/companies/139577-gloor-it-solutions-gmbh?utm_source=oberaargau","PROFIL ANSEHEN")</f>
        <v>PROFIL ANSEHEN</v>
      </c>
    </row>
    <row r="1767" spans="1:12" x14ac:dyDescent="0.2">
      <c r="A1767" t="s">
        <v>9764</v>
      </c>
      <c r="B1767" t="s">
        <v>9765</v>
      </c>
      <c r="C1767" t="s">
        <v>202</v>
      </c>
      <c r="E1767" t="s">
        <v>947</v>
      </c>
      <c r="F1767">
        <v>3380</v>
      </c>
      <c r="G1767" t="s">
        <v>29</v>
      </c>
      <c r="H1767" t="s">
        <v>16</v>
      </c>
      <c r="I1767" t="s">
        <v>186</v>
      </c>
      <c r="J1767" t="s">
        <v>187</v>
      </c>
      <c r="K1767" t="s">
        <v>1809</v>
      </c>
      <c r="L1767" t="str">
        <f>HYPERLINK("https://business-monitor.ch/de/companies/1027880-lenoya-gmbh?utm_source=oberaargau","PROFIL ANSEHEN")</f>
        <v>PROFIL ANSEHEN</v>
      </c>
    </row>
    <row r="1768" spans="1:12" x14ac:dyDescent="0.2">
      <c r="A1768" t="s">
        <v>8172</v>
      </c>
      <c r="B1768" t="s">
        <v>8173</v>
      </c>
      <c r="C1768" t="s">
        <v>1812</v>
      </c>
      <c r="E1768" t="s">
        <v>8174</v>
      </c>
      <c r="F1768">
        <v>4537</v>
      </c>
      <c r="G1768" t="s">
        <v>113</v>
      </c>
      <c r="H1768" t="s">
        <v>16</v>
      </c>
      <c r="I1768" t="s">
        <v>2414</v>
      </c>
      <c r="J1768" t="s">
        <v>2415</v>
      </c>
      <c r="K1768" t="s">
        <v>1809</v>
      </c>
      <c r="L1768" t="str">
        <f>HYPERLINK("https://business-monitor.ch/de/companies/173781-jakob-loetscher?utm_source=oberaargau","PROFIL ANSEHEN")</f>
        <v>PROFIL ANSEHEN</v>
      </c>
    </row>
    <row r="1769" spans="1:12" x14ac:dyDescent="0.2">
      <c r="A1769" t="s">
        <v>8935</v>
      </c>
      <c r="B1769" t="s">
        <v>8936</v>
      </c>
      <c r="C1769" t="s">
        <v>202</v>
      </c>
      <c r="E1769" t="s">
        <v>8937</v>
      </c>
      <c r="F1769">
        <v>4914</v>
      </c>
      <c r="G1769" t="s">
        <v>717</v>
      </c>
      <c r="H1769" t="s">
        <v>16</v>
      </c>
      <c r="I1769" t="s">
        <v>551</v>
      </c>
      <c r="J1769" t="s">
        <v>552</v>
      </c>
      <c r="K1769" t="s">
        <v>1809</v>
      </c>
      <c r="L1769" t="str">
        <f>HYPERLINK("https://business-monitor.ch/de/companies/270316-alberag-gmbh?utm_source=oberaargau","PROFIL ANSEHEN")</f>
        <v>PROFIL ANSEHEN</v>
      </c>
    </row>
    <row r="1770" spans="1:12" x14ac:dyDescent="0.2">
      <c r="A1770" t="s">
        <v>14349</v>
      </c>
      <c r="B1770" t="s">
        <v>14350</v>
      </c>
      <c r="C1770" t="s">
        <v>202</v>
      </c>
      <c r="E1770" t="s">
        <v>14351</v>
      </c>
      <c r="F1770">
        <v>3360</v>
      </c>
      <c r="G1770" t="s">
        <v>35</v>
      </c>
      <c r="H1770" t="s">
        <v>16</v>
      </c>
      <c r="I1770" t="s">
        <v>464</v>
      </c>
      <c r="J1770" t="s">
        <v>465</v>
      </c>
      <c r="K1770" t="s">
        <v>1809</v>
      </c>
      <c r="L1770" t="str">
        <f>HYPERLINK("https://business-monitor.ch/de/companies/1292891-schrepf-log-gmbh?utm_source=oberaargau","PROFIL ANSEHEN")</f>
        <v>PROFIL ANSEHEN</v>
      </c>
    </row>
    <row r="1771" spans="1:12" x14ac:dyDescent="0.2">
      <c r="A1771" t="s">
        <v>1960</v>
      </c>
      <c r="B1771" t="s">
        <v>1961</v>
      </c>
      <c r="C1771" t="s">
        <v>1812</v>
      </c>
      <c r="E1771" t="s">
        <v>1962</v>
      </c>
      <c r="F1771">
        <v>4917</v>
      </c>
      <c r="G1771" t="s">
        <v>376</v>
      </c>
      <c r="H1771" t="s">
        <v>16</v>
      </c>
      <c r="I1771" t="s">
        <v>1860</v>
      </c>
      <c r="J1771" t="s">
        <v>1861</v>
      </c>
      <c r="K1771" t="s">
        <v>1809</v>
      </c>
      <c r="L1771" t="str">
        <f>HYPERLINK("https://business-monitor.ch/de/companies/223895-m-coiffure-hairline-ivana-corrado-mighali?utm_source=oberaargau","PROFIL ANSEHEN")</f>
        <v>PROFIL ANSEHEN</v>
      </c>
    </row>
    <row r="1772" spans="1:12" x14ac:dyDescent="0.2">
      <c r="A1772" t="s">
        <v>5429</v>
      </c>
      <c r="B1772" t="s">
        <v>5430</v>
      </c>
      <c r="C1772" t="s">
        <v>1812</v>
      </c>
      <c r="E1772" t="s">
        <v>5431</v>
      </c>
      <c r="F1772">
        <v>4922</v>
      </c>
      <c r="G1772" t="s">
        <v>99</v>
      </c>
      <c r="H1772" t="s">
        <v>16</v>
      </c>
      <c r="I1772" t="s">
        <v>570</v>
      </c>
      <c r="J1772" t="s">
        <v>571</v>
      </c>
      <c r="K1772" t="s">
        <v>1809</v>
      </c>
      <c r="L1772" t="str">
        <f>HYPERLINK("https://business-monitor.ch/de/companies/225432-kta-roth-melchior?utm_source=oberaargau","PROFIL ANSEHEN")</f>
        <v>PROFIL ANSEHEN</v>
      </c>
    </row>
    <row r="1773" spans="1:12" x14ac:dyDescent="0.2">
      <c r="A1773" t="s">
        <v>3415</v>
      </c>
      <c r="B1773" t="s">
        <v>3416</v>
      </c>
      <c r="C1773" t="s">
        <v>13</v>
      </c>
      <c r="E1773" t="s">
        <v>12478</v>
      </c>
      <c r="F1773">
        <v>4900</v>
      </c>
      <c r="G1773" t="s">
        <v>41</v>
      </c>
      <c r="H1773" t="s">
        <v>16</v>
      </c>
      <c r="I1773" t="s">
        <v>2555</v>
      </c>
      <c r="J1773" t="s">
        <v>2556</v>
      </c>
      <c r="K1773" t="s">
        <v>1809</v>
      </c>
      <c r="L1773" t="str">
        <f>HYPERLINK("https://business-monitor.ch/de/companies/187012-baer-bichsel-ag?utm_source=oberaargau","PROFIL ANSEHEN")</f>
        <v>PROFIL ANSEHEN</v>
      </c>
    </row>
    <row r="1774" spans="1:12" x14ac:dyDescent="0.2">
      <c r="A1774" t="s">
        <v>9664</v>
      </c>
      <c r="B1774" t="s">
        <v>9665</v>
      </c>
      <c r="C1774" t="s">
        <v>13</v>
      </c>
      <c r="E1774" t="s">
        <v>1043</v>
      </c>
      <c r="F1774">
        <v>4932</v>
      </c>
      <c r="G1774" t="s">
        <v>325</v>
      </c>
      <c r="H1774" t="s">
        <v>16</v>
      </c>
      <c r="I1774" t="s">
        <v>182</v>
      </c>
      <c r="J1774" t="s">
        <v>183</v>
      </c>
      <c r="K1774" t="s">
        <v>1809</v>
      </c>
      <c r="L1774" t="str">
        <f>HYPERLINK("https://business-monitor.ch/de/companies/632400-ebl-holding-ag?utm_source=oberaargau","PROFIL ANSEHEN")</f>
        <v>PROFIL ANSEHEN</v>
      </c>
    </row>
    <row r="1775" spans="1:12" x14ac:dyDescent="0.2">
      <c r="A1775" t="s">
        <v>6602</v>
      </c>
      <c r="B1775" t="s">
        <v>6603</v>
      </c>
      <c r="C1775" t="s">
        <v>13</v>
      </c>
      <c r="E1775" t="s">
        <v>6604</v>
      </c>
      <c r="F1775">
        <v>3360</v>
      </c>
      <c r="G1775" t="s">
        <v>35</v>
      </c>
      <c r="H1775" t="s">
        <v>16</v>
      </c>
      <c r="I1775" t="s">
        <v>679</v>
      </c>
      <c r="J1775" t="s">
        <v>680</v>
      </c>
      <c r="K1775" t="s">
        <v>1809</v>
      </c>
      <c r="L1775" t="str">
        <f>HYPERLINK("https://business-monitor.ch/de/companies/204772-schreinerei-alfred-wyss-ag?utm_source=oberaargau","PROFIL ANSEHEN")</f>
        <v>PROFIL ANSEHEN</v>
      </c>
    </row>
    <row r="1776" spans="1:12" x14ac:dyDescent="0.2">
      <c r="A1776" t="s">
        <v>11009</v>
      </c>
      <c r="B1776" t="s">
        <v>11010</v>
      </c>
      <c r="C1776" t="s">
        <v>1812</v>
      </c>
      <c r="E1776" t="s">
        <v>11011</v>
      </c>
      <c r="F1776">
        <v>4538</v>
      </c>
      <c r="G1776" t="s">
        <v>71</v>
      </c>
      <c r="H1776" t="s">
        <v>16</v>
      </c>
      <c r="I1776" t="s">
        <v>624</v>
      </c>
      <c r="J1776" t="s">
        <v>625</v>
      </c>
      <c r="K1776" t="s">
        <v>1809</v>
      </c>
      <c r="L1776" t="str">
        <f>HYPERLINK("https://business-monitor.ch/de/companies/233162-bau-mann-peter-baumann?utm_source=oberaargau","PROFIL ANSEHEN")</f>
        <v>PROFIL ANSEHEN</v>
      </c>
    </row>
    <row r="1777" spans="1:12" x14ac:dyDescent="0.2">
      <c r="A1777" t="s">
        <v>14474</v>
      </c>
      <c r="B1777" t="s">
        <v>14475</v>
      </c>
      <c r="C1777" t="s">
        <v>202</v>
      </c>
      <c r="E1777" t="s">
        <v>14476</v>
      </c>
      <c r="F1777">
        <v>4934</v>
      </c>
      <c r="G1777" t="s">
        <v>670</v>
      </c>
      <c r="H1777" t="s">
        <v>16</v>
      </c>
      <c r="I1777" t="s">
        <v>3864</v>
      </c>
      <c r="J1777" t="s">
        <v>3865</v>
      </c>
      <c r="K1777" t="s">
        <v>1809</v>
      </c>
      <c r="L1777" t="str">
        <f>HYPERLINK("https://business-monitor.ch/de/companies/1306004-lukas-bruegger-gmbh?utm_source=oberaargau","PROFIL ANSEHEN")</f>
        <v>PROFIL ANSEHEN</v>
      </c>
    </row>
    <row r="1778" spans="1:12" x14ac:dyDescent="0.2">
      <c r="A1778" t="s">
        <v>10357</v>
      </c>
      <c r="B1778" t="s">
        <v>10358</v>
      </c>
      <c r="C1778" t="s">
        <v>1812</v>
      </c>
      <c r="E1778" t="s">
        <v>10359</v>
      </c>
      <c r="F1778">
        <v>4917</v>
      </c>
      <c r="G1778" t="s">
        <v>376</v>
      </c>
      <c r="H1778" t="s">
        <v>16</v>
      </c>
      <c r="I1778" t="s">
        <v>6019</v>
      </c>
      <c r="J1778" t="s">
        <v>6020</v>
      </c>
      <c r="K1778" t="s">
        <v>1809</v>
      </c>
      <c r="L1778" t="str">
        <f>HYPERLINK("https://business-monitor.ch/de/companies/535483-auto-back?utm_source=oberaargau","PROFIL ANSEHEN")</f>
        <v>PROFIL ANSEHEN</v>
      </c>
    </row>
    <row r="1779" spans="1:12" x14ac:dyDescent="0.2">
      <c r="A1779" t="s">
        <v>2312</v>
      </c>
      <c r="B1779" t="s">
        <v>2313</v>
      </c>
      <c r="C1779" t="s">
        <v>1812</v>
      </c>
      <c r="E1779" t="s">
        <v>2314</v>
      </c>
      <c r="F1779">
        <v>4539</v>
      </c>
      <c r="G1779" t="s">
        <v>1134</v>
      </c>
      <c r="H1779" t="s">
        <v>16</v>
      </c>
      <c r="I1779" t="s">
        <v>2438</v>
      </c>
      <c r="J1779" t="s">
        <v>2439</v>
      </c>
      <c r="K1779" t="s">
        <v>1809</v>
      </c>
      <c r="L1779" t="str">
        <f>HYPERLINK("https://business-monitor.ch/de/companies/238441-holzarbeiten-und-umbauten-ernst-ischi?utm_source=oberaargau","PROFIL ANSEHEN")</f>
        <v>PROFIL ANSEHEN</v>
      </c>
    </row>
    <row r="1780" spans="1:12" x14ac:dyDescent="0.2">
      <c r="A1780" t="s">
        <v>5454</v>
      </c>
      <c r="B1780" t="s">
        <v>5455</v>
      </c>
      <c r="C1780" t="s">
        <v>1812</v>
      </c>
      <c r="E1780" t="s">
        <v>2320</v>
      </c>
      <c r="F1780">
        <v>4900</v>
      </c>
      <c r="G1780" t="s">
        <v>41</v>
      </c>
      <c r="H1780" t="s">
        <v>16</v>
      </c>
      <c r="I1780" t="s">
        <v>2397</v>
      </c>
      <c r="J1780" t="s">
        <v>2398</v>
      </c>
      <c r="K1780" t="s">
        <v>1809</v>
      </c>
      <c r="L1780" t="str">
        <f>HYPERLINK("https://business-monitor.ch/de/companies/209342-fritz-buerki?utm_source=oberaargau","PROFIL ANSEHEN")</f>
        <v>PROFIL ANSEHEN</v>
      </c>
    </row>
    <row r="1781" spans="1:12" x14ac:dyDescent="0.2">
      <c r="A1781" t="s">
        <v>5680</v>
      </c>
      <c r="B1781" t="s">
        <v>5681</v>
      </c>
      <c r="C1781" t="s">
        <v>13</v>
      </c>
      <c r="E1781" t="s">
        <v>5682</v>
      </c>
      <c r="F1781">
        <v>4900</v>
      </c>
      <c r="G1781" t="s">
        <v>41</v>
      </c>
      <c r="H1781" t="s">
        <v>16</v>
      </c>
      <c r="I1781" t="s">
        <v>671</v>
      </c>
      <c r="J1781" t="s">
        <v>672</v>
      </c>
      <c r="K1781" t="s">
        <v>1809</v>
      </c>
      <c r="L1781" t="str">
        <f>HYPERLINK("https://business-monitor.ch/de/companies/209353-dr-med-andreas-bieri-langenthal-ag?utm_source=oberaargau","PROFIL ANSEHEN")</f>
        <v>PROFIL ANSEHEN</v>
      </c>
    </row>
    <row r="1782" spans="1:12" x14ac:dyDescent="0.2">
      <c r="A1782" t="s">
        <v>10204</v>
      </c>
      <c r="B1782" t="s">
        <v>10205</v>
      </c>
      <c r="C1782" t="s">
        <v>13</v>
      </c>
      <c r="D1782" t="s">
        <v>10206</v>
      </c>
      <c r="E1782" t="s">
        <v>10207</v>
      </c>
      <c r="F1782">
        <v>4917</v>
      </c>
      <c r="G1782" t="s">
        <v>376</v>
      </c>
      <c r="H1782" t="s">
        <v>16</v>
      </c>
      <c r="I1782" t="s">
        <v>304</v>
      </c>
      <c r="J1782" t="s">
        <v>305</v>
      </c>
      <c r="K1782" t="s">
        <v>1809</v>
      </c>
      <c r="L1782" t="str">
        <f>HYPERLINK("https://business-monitor.ch/de/companies/617861-gjuch-energie-ag?utm_source=oberaargau","PROFIL ANSEHEN")</f>
        <v>PROFIL ANSEHEN</v>
      </c>
    </row>
    <row r="1783" spans="1:12" x14ac:dyDescent="0.2">
      <c r="A1783" t="s">
        <v>5503</v>
      </c>
      <c r="B1783" t="s">
        <v>5504</v>
      </c>
      <c r="C1783" t="s">
        <v>1812</v>
      </c>
      <c r="E1783" t="s">
        <v>3433</v>
      </c>
      <c r="F1783">
        <v>4917</v>
      </c>
      <c r="G1783" t="s">
        <v>376</v>
      </c>
      <c r="H1783" t="s">
        <v>16</v>
      </c>
      <c r="I1783" t="s">
        <v>1835</v>
      </c>
      <c r="J1783" t="s">
        <v>1836</v>
      </c>
      <c r="K1783" t="s">
        <v>1809</v>
      </c>
      <c r="L1783" t="str">
        <f>HYPERLINK("https://business-monitor.ch/de/companies/125016-helfenfinger-woerk-s?utm_source=oberaargau","PROFIL ANSEHEN")</f>
        <v>PROFIL ANSEHEN</v>
      </c>
    </row>
    <row r="1784" spans="1:12" x14ac:dyDescent="0.2">
      <c r="A1784" t="s">
        <v>2370</v>
      </c>
      <c r="B1784" t="s">
        <v>2371</v>
      </c>
      <c r="C1784" t="s">
        <v>202</v>
      </c>
      <c r="E1784" t="s">
        <v>910</v>
      </c>
      <c r="F1784">
        <v>4950</v>
      </c>
      <c r="G1784" t="s">
        <v>15</v>
      </c>
      <c r="H1784" t="s">
        <v>16</v>
      </c>
      <c r="I1784" t="s">
        <v>733</v>
      </c>
      <c r="J1784" t="s">
        <v>734</v>
      </c>
      <c r="K1784" t="s">
        <v>1809</v>
      </c>
      <c r="L1784" t="str">
        <f>HYPERLINK("https://business-monitor.ch/de/companies/128851-lubimer-gmbh?utm_source=oberaargau","PROFIL ANSEHEN")</f>
        <v>PROFIL ANSEHEN</v>
      </c>
    </row>
    <row r="1785" spans="1:12" x14ac:dyDescent="0.2">
      <c r="A1785" t="s">
        <v>11961</v>
      </c>
      <c r="B1785" t="s">
        <v>11962</v>
      </c>
      <c r="C1785" t="s">
        <v>202</v>
      </c>
      <c r="E1785" t="s">
        <v>10297</v>
      </c>
      <c r="F1785">
        <v>4912</v>
      </c>
      <c r="G1785" t="s">
        <v>64</v>
      </c>
      <c r="H1785" t="s">
        <v>16</v>
      </c>
      <c r="I1785" t="s">
        <v>642</v>
      </c>
      <c r="J1785" t="s">
        <v>643</v>
      </c>
      <c r="K1785" t="s">
        <v>1809</v>
      </c>
      <c r="L1785" t="str">
        <f>HYPERLINK("https://business-monitor.ch/de/companies/1030375-bross-gmbh?utm_source=oberaargau","PROFIL ANSEHEN")</f>
        <v>PROFIL ANSEHEN</v>
      </c>
    </row>
    <row r="1786" spans="1:12" x14ac:dyDescent="0.2">
      <c r="A1786" t="s">
        <v>4651</v>
      </c>
      <c r="B1786" t="s">
        <v>4652</v>
      </c>
      <c r="C1786" t="s">
        <v>1812</v>
      </c>
      <c r="E1786" t="s">
        <v>4653</v>
      </c>
      <c r="F1786">
        <v>4704</v>
      </c>
      <c r="G1786" t="s">
        <v>221</v>
      </c>
      <c r="H1786" t="s">
        <v>16</v>
      </c>
      <c r="I1786" t="s">
        <v>2062</v>
      </c>
      <c r="J1786" t="s">
        <v>2063</v>
      </c>
      <c r="K1786" t="s">
        <v>1809</v>
      </c>
      <c r="L1786" t="str">
        <f>HYPERLINK("https://business-monitor.ch/de/companies/620252-l-bajrami?utm_source=oberaargau","PROFIL ANSEHEN")</f>
        <v>PROFIL ANSEHEN</v>
      </c>
    </row>
    <row r="1787" spans="1:12" x14ac:dyDescent="0.2">
      <c r="A1787" t="s">
        <v>8340</v>
      </c>
      <c r="B1787" t="s">
        <v>8341</v>
      </c>
      <c r="C1787" t="s">
        <v>1812</v>
      </c>
      <c r="E1787" t="s">
        <v>8342</v>
      </c>
      <c r="F1787">
        <v>4539</v>
      </c>
      <c r="G1787" t="s">
        <v>23</v>
      </c>
      <c r="H1787" t="s">
        <v>16</v>
      </c>
      <c r="I1787" t="s">
        <v>2067</v>
      </c>
      <c r="J1787" t="s">
        <v>2068</v>
      </c>
      <c r="K1787" t="s">
        <v>1809</v>
      </c>
      <c r="L1787" t="str">
        <f>HYPERLINK("https://business-monitor.ch/de/companies/245063-baudienste-martin-herger?utm_source=oberaargau","PROFIL ANSEHEN")</f>
        <v>PROFIL ANSEHEN</v>
      </c>
    </row>
    <row r="1788" spans="1:12" x14ac:dyDescent="0.2">
      <c r="A1788" t="s">
        <v>8483</v>
      </c>
      <c r="B1788" t="s">
        <v>8484</v>
      </c>
      <c r="C1788" t="s">
        <v>13</v>
      </c>
      <c r="D1788" t="s">
        <v>8485</v>
      </c>
      <c r="E1788" t="s">
        <v>8486</v>
      </c>
      <c r="F1788">
        <v>4950</v>
      </c>
      <c r="G1788" t="s">
        <v>15</v>
      </c>
      <c r="H1788" t="s">
        <v>16</v>
      </c>
      <c r="I1788" t="s">
        <v>182</v>
      </c>
      <c r="J1788" t="s">
        <v>183</v>
      </c>
      <c r="K1788" t="s">
        <v>1809</v>
      </c>
      <c r="L1788" t="str">
        <f>HYPERLINK("https://business-monitor.ch/de/companies/513643-jumiru-holding-ag?utm_source=oberaargau","PROFIL ANSEHEN")</f>
        <v>PROFIL ANSEHEN</v>
      </c>
    </row>
    <row r="1789" spans="1:12" x14ac:dyDescent="0.2">
      <c r="A1789" t="s">
        <v>8951</v>
      </c>
      <c r="B1789" t="s">
        <v>8952</v>
      </c>
      <c r="C1789" t="s">
        <v>1812</v>
      </c>
      <c r="E1789" t="s">
        <v>8953</v>
      </c>
      <c r="F1789">
        <v>4955</v>
      </c>
      <c r="G1789" t="s">
        <v>684</v>
      </c>
      <c r="H1789" t="s">
        <v>16</v>
      </c>
      <c r="I1789" t="s">
        <v>2365</v>
      </c>
      <c r="J1789" t="s">
        <v>2366</v>
      </c>
      <c r="K1789" t="s">
        <v>1809</v>
      </c>
      <c r="L1789" t="str">
        <f>HYPERLINK("https://business-monitor.ch/de/companies/247631-farm-mech-godi-nyffenegger?utm_source=oberaargau","PROFIL ANSEHEN")</f>
        <v>PROFIL ANSEHEN</v>
      </c>
    </row>
    <row r="1790" spans="1:12" x14ac:dyDescent="0.2">
      <c r="A1790" t="s">
        <v>3503</v>
      </c>
      <c r="B1790" t="s">
        <v>3504</v>
      </c>
      <c r="C1790" t="s">
        <v>1812</v>
      </c>
      <c r="E1790" t="s">
        <v>3505</v>
      </c>
      <c r="F1790">
        <v>3476</v>
      </c>
      <c r="G1790" t="s">
        <v>3506</v>
      </c>
      <c r="H1790" t="s">
        <v>16</v>
      </c>
      <c r="I1790" t="s">
        <v>475</v>
      </c>
      <c r="J1790" t="s">
        <v>476</v>
      </c>
      <c r="K1790" t="s">
        <v>1809</v>
      </c>
      <c r="L1790" t="str">
        <f>HYPERLINK("https://business-monitor.ch/de/companies/158625-konstruktionsbuero-fritz-kaempfer?utm_source=oberaargau","PROFIL ANSEHEN")</f>
        <v>PROFIL ANSEHEN</v>
      </c>
    </row>
    <row r="1791" spans="1:12" x14ac:dyDescent="0.2">
      <c r="A1791" t="s">
        <v>13881</v>
      </c>
      <c r="B1791" t="s">
        <v>13882</v>
      </c>
      <c r="C1791" t="s">
        <v>1812</v>
      </c>
      <c r="E1791" t="s">
        <v>13883</v>
      </c>
      <c r="F1791">
        <v>3360</v>
      </c>
      <c r="G1791" t="s">
        <v>35</v>
      </c>
      <c r="H1791" t="s">
        <v>16</v>
      </c>
      <c r="I1791" t="s">
        <v>175</v>
      </c>
      <c r="J1791" t="s">
        <v>176</v>
      </c>
      <c r="K1791" t="s">
        <v>1809</v>
      </c>
      <c r="L1791" t="str">
        <f>HYPERLINK("https://business-monitor.ch/de/companies/1278960-druecktechnik-waelchli?utm_source=oberaargau","PROFIL ANSEHEN")</f>
        <v>PROFIL ANSEHEN</v>
      </c>
    </row>
    <row r="1792" spans="1:12" x14ac:dyDescent="0.2">
      <c r="A1792" t="s">
        <v>9405</v>
      </c>
      <c r="B1792" t="s">
        <v>9406</v>
      </c>
      <c r="C1792" t="s">
        <v>13</v>
      </c>
      <c r="E1792" t="s">
        <v>454</v>
      </c>
      <c r="F1792">
        <v>3367</v>
      </c>
      <c r="G1792" t="s">
        <v>455</v>
      </c>
      <c r="H1792" t="s">
        <v>16</v>
      </c>
      <c r="I1792" t="s">
        <v>186</v>
      </c>
      <c r="J1792" t="s">
        <v>187</v>
      </c>
      <c r="K1792" t="s">
        <v>1809</v>
      </c>
      <c r="L1792" t="str">
        <f>HYPERLINK("https://business-monitor.ch/de/companies/42950-benseler-holding-schweiz-ag?utm_source=oberaargau","PROFIL ANSEHEN")</f>
        <v>PROFIL ANSEHEN</v>
      </c>
    </row>
    <row r="1793" spans="1:12" x14ac:dyDescent="0.2">
      <c r="A1793" t="s">
        <v>2895</v>
      </c>
      <c r="B1793" t="s">
        <v>2896</v>
      </c>
      <c r="C1793" t="s">
        <v>202</v>
      </c>
      <c r="E1793" t="s">
        <v>11162</v>
      </c>
      <c r="F1793">
        <v>4913</v>
      </c>
      <c r="G1793" t="s">
        <v>207</v>
      </c>
      <c r="H1793" t="s">
        <v>16</v>
      </c>
      <c r="I1793" t="s">
        <v>2897</v>
      </c>
      <c r="J1793" t="s">
        <v>2898</v>
      </c>
      <c r="K1793" t="s">
        <v>1809</v>
      </c>
      <c r="L1793" t="str">
        <f>HYPERLINK("https://business-monitor.ch/de/companies/1064503-pfk-gmbh?utm_source=oberaargau","PROFIL ANSEHEN")</f>
        <v>PROFIL ANSEHEN</v>
      </c>
    </row>
    <row r="1794" spans="1:12" x14ac:dyDescent="0.2">
      <c r="A1794" t="s">
        <v>1949</v>
      </c>
      <c r="B1794" t="s">
        <v>1950</v>
      </c>
      <c r="C1794" t="s">
        <v>1812</v>
      </c>
      <c r="E1794" t="s">
        <v>1951</v>
      </c>
      <c r="F1794">
        <v>3365</v>
      </c>
      <c r="G1794" t="s">
        <v>1008</v>
      </c>
      <c r="H1794" t="s">
        <v>16</v>
      </c>
      <c r="I1794" t="s">
        <v>1952</v>
      </c>
      <c r="J1794" t="s">
        <v>1953</v>
      </c>
      <c r="K1794" t="s">
        <v>1809</v>
      </c>
      <c r="L1794" t="str">
        <f>HYPERLINK("https://business-monitor.ch/de/companies/229444-werner-lerch?utm_source=oberaargau","PROFIL ANSEHEN")</f>
        <v>PROFIL ANSEHEN</v>
      </c>
    </row>
    <row r="1795" spans="1:12" x14ac:dyDescent="0.2">
      <c r="A1795" t="s">
        <v>1963</v>
      </c>
      <c r="B1795" t="s">
        <v>12582</v>
      </c>
      <c r="C1795" t="s">
        <v>13</v>
      </c>
      <c r="E1795" t="s">
        <v>3801</v>
      </c>
      <c r="F1795">
        <v>4914</v>
      </c>
      <c r="G1795" t="s">
        <v>105</v>
      </c>
      <c r="H1795" t="s">
        <v>16</v>
      </c>
      <c r="I1795" t="s">
        <v>298</v>
      </c>
      <c r="J1795" t="s">
        <v>299</v>
      </c>
      <c r="K1795" t="s">
        <v>1809</v>
      </c>
      <c r="L1795" t="str">
        <f>HYPERLINK("https://business-monitor.ch/de/companies/231258-elmar-partner-ag?utm_source=oberaargau","PROFIL ANSEHEN")</f>
        <v>PROFIL ANSEHEN</v>
      </c>
    </row>
    <row r="1796" spans="1:12" x14ac:dyDescent="0.2">
      <c r="A1796" t="s">
        <v>3528</v>
      </c>
      <c r="B1796" t="s">
        <v>3529</v>
      </c>
      <c r="C1796" t="s">
        <v>13</v>
      </c>
      <c r="E1796" t="s">
        <v>3530</v>
      </c>
      <c r="F1796">
        <v>3362</v>
      </c>
      <c r="G1796" t="s">
        <v>47</v>
      </c>
      <c r="H1796" t="s">
        <v>16</v>
      </c>
      <c r="I1796" t="s">
        <v>997</v>
      </c>
      <c r="J1796" t="s">
        <v>998</v>
      </c>
      <c r="K1796" t="s">
        <v>1809</v>
      </c>
      <c r="L1796" t="str">
        <f>HYPERLINK("https://business-monitor.ch/de/companies/145121-luechinger-classic-motors-ag?utm_source=oberaargau","PROFIL ANSEHEN")</f>
        <v>PROFIL ANSEHEN</v>
      </c>
    </row>
    <row r="1797" spans="1:12" x14ac:dyDescent="0.2">
      <c r="A1797" t="s">
        <v>6449</v>
      </c>
      <c r="B1797" t="s">
        <v>6469</v>
      </c>
      <c r="C1797" t="s">
        <v>1812</v>
      </c>
      <c r="E1797" t="s">
        <v>6470</v>
      </c>
      <c r="F1797">
        <v>4704</v>
      </c>
      <c r="G1797" t="s">
        <v>221</v>
      </c>
      <c r="H1797" t="s">
        <v>16</v>
      </c>
      <c r="I1797" t="s">
        <v>153</v>
      </c>
      <c r="J1797" t="s">
        <v>154</v>
      </c>
      <c r="K1797" t="s">
        <v>1809</v>
      </c>
      <c r="L1797" t="str">
        <f>HYPERLINK("https://business-monitor.ch/de/companies/264260-apdie-allenbach-peter-design-invent-engineering?utm_source=oberaargau","PROFIL ANSEHEN")</f>
        <v>PROFIL ANSEHEN</v>
      </c>
    </row>
    <row r="1798" spans="1:12" x14ac:dyDescent="0.2">
      <c r="A1798" t="s">
        <v>9201</v>
      </c>
      <c r="B1798" t="s">
        <v>9202</v>
      </c>
      <c r="C1798" t="s">
        <v>1812</v>
      </c>
      <c r="E1798" t="s">
        <v>9203</v>
      </c>
      <c r="F1798">
        <v>4704</v>
      </c>
      <c r="G1798" t="s">
        <v>221</v>
      </c>
      <c r="H1798" t="s">
        <v>16</v>
      </c>
      <c r="I1798" t="s">
        <v>2062</v>
      </c>
      <c r="J1798" t="s">
        <v>2063</v>
      </c>
      <c r="K1798" t="s">
        <v>1809</v>
      </c>
      <c r="L1798" t="str">
        <f>HYPERLINK("https://business-monitor.ch/de/companies/149204-wasser-s-laedeli?utm_source=oberaargau","PROFIL ANSEHEN")</f>
        <v>PROFIL ANSEHEN</v>
      </c>
    </row>
    <row r="1799" spans="1:12" x14ac:dyDescent="0.2">
      <c r="A1799" t="s">
        <v>13875</v>
      </c>
      <c r="B1799" t="s">
        <v>13876</v>
      </c>
      <c r="C1799" t="s">
        <v>1812</v>
      </c>
      <c r="D1799" t="s">
        <v>13877</v>
      </c>
      <c r="E1799" t="s">
        <v>13878</v>
      </c>
      <c r="F1799">
        <v>3360</v>
      </c>
      <c r="G1799" t="s">
        <v>35</v>
      </c>
      <c r="H1799" t="s">
        <v>16</v>
      </c>
      <c r="I1799" t="s">
        <v>12654</v>
      </c>
      <c r="J1799" t="s">
        <v>12655</v>
      </c>
      <c r="K1799" t="s">
        <v>1809</v>
      </c>
      <c r="L1799" t="str">
        <f>HYPERLINK("https://business-monitor.ch/de/companies/1275599-kilchmann-cosmetics?utm_source=oberaargau","PROFIL ANSEHEN")</f>
        <v>PROFIL ANSEHEN</v>
      </c>
    </row>
    <row r="1800" spans="1:12" x14ac:dyDescent="0.2">
      <c r="A1800" t="s">
        <v>2202</v>
      </c>
      <c r="B1800" t="s">
        <v>2203</v>
      </c>
      <c r="C1800" t="s">
        <v>1812</v>
      </c>
      <c r="E1800" t="s">
        <v>2204</v>
      </c>
      <c r="F1800">
        <v>4952</v>
      </c>
      <c r="G1800" t="s">
        <v>474</v>
      </c>
      <c r="H1800" t="s">
        <v>16</v>
      </c>
      <c r="I1800" t="s">
        <v>433</v>
      </c>
      <c r="J1800" t="s">
        <v>434</v>
      </c>
      <c r="K1800" t="s">
        <v>1809</v>
      </c>
      <c r="L1800" t="str">
        <f>HYPERLINK("https://business-monitor.ch/de/companies/1071599-techsolutions-thurnherr?utm_source=oberaargau","PROFIL ANSEHEN")</f>
        <v>PROFIL ANSEHEN</v>
      </c>
    </row>
    <row r="1801" spans="1:12" x14ac:dyDescent="0.2">
      <c r="A1801" t="s">
        <v>2959</v>
      </c>
      <c r="B1801" t="s">
        <v>2960</v>
      </c>
      <c r="C1801" t="s">
        <v>13</v>
      </c>
      <c r="E1801" t="s">
        <v>2961</v>
      </c>
      <c r="F1801">
        <v>3380</v>
      </c>
      <c r="G1801" t="s">
        <v>29</v>
      </c>
      <c r="H1801" t="s">
        <v>16</v>
      </c>
      <c r="I1801" t="s">
        <v>2962</v>
      </c>
      <c r="J1801" t="s">
        <v>2963</v>
      </c>
      <c r="K1801" t="s">
        <v>1809</v>
      </c>
      <c r="L1801" t="str">
        <f>HYPERLINK("https://business-monitor.ch/de/companies/371350-ned-tech-ag?utm_source=oberaargau","PROFIL ANSEHEN")</f>
        <v>PROFIL ANSEHEN</v>
      </c>
    </row>
    <row r="1802" spans="1:12" x14ac:dyDescent="0.2">
      <c r="A1802" t="s">
        <v>5031</v>
      </c>
      <c r="B1802" t="s">
        <v>5032</v>
      </c>
      <c r="C1802" t="s">
        <v>1812</v>
      </c>
      <c r="E1802" t="s">
        <v>5033</v>
      </c>
      <c r="F1802">
        <v>4912</v>
      </c>
      <c r="G1802" t="s">
        <v>64</v>
      </c>
      <c r="H1802" t="s">
        <v>16</v>
      </c>
      <c r="I1802" t="s">
        <v>5034</v>
      </c>
      <c r="J1802" t="s">
        <v>5035</v>
      </c>
      <c r="K1802" t="s">
        <v>1809</v>
      </c>
      <c r="L1802" t="str">
        <f>HYPERLINK("https://business-monitor.ch/de/companies/191832-river-fashion-line-daniel-meier?utm_source=oberaargau","PROFIL ANSEHEN")</f>
        <v>PROFIL ANSEHEN</v>
      </c>
    </row>
    <row r="1803" spans="1:12" x14ac:dyDescent="0.2">
      <c r="A1803" t="s">
        <v>2630</v>
      </c>
      <c r="B1803" t="s">
        <v>2631</v>
      </c>
      <c r="C1803" t="s">
        <v>202</v>
      </c>
      <c r="E1803" t="s">
        <v>2478</v>
      </c>
      <c r="F1803">
        <v>4900</v>
      </c>
      <c r="G1803" t="s">
        <v>41</v>
      </c>
      <c r="H1803" t="s">
        <v>16</v>
      </c>
      <c r="I1803" t="s">
        <v>2414</v>
      </c>
      <c r="J1803" t="s">
        <v>2415</v>
      </c>
      <c r="K1803" t="s">
        <v>1809</v>
      </c>
      <c r="L1803" t="str">
        <f>HYPERLINK("https://business-monitor.ch/de/companies/498466-buerki-gastro-dienstleistungs-gmbh?utm_source=oberaargau","PROFIL ANSEHEN")</f>
        <v>PROFIL ANSEHEN</v>
      </c>
    </row>
    <row r="1804" spans="1:12" x14ac:dyDescent="0.2">
      <c r="A1804" t="s">
        <v>3012</v>
      </c>
      <c r="B1804" t="s">
        <v>9189</v>
      </c>
      <c r="C1804" t="s">
        <v>1812</v>
      </c>
      <c r="E1804" t="s">
        <v>2297</v>
      </c>
      <c r="F1804">
        <v>4537</v>
      </c>
      <c r="G1804" t="s">
        <v>113</v>
      </c>
      <c r="H1804" t="s">
        <v>16</v>
      </c>
      <c r="I1804" t="s">
        <v>733</v>
      </c>
      <c r="J1804" t="s">
        <v>734</v>
      </c>
      <c r="K1804" t="s">
        <v>1809</v>
      </c>
      <c r="L1804" t="str">
        <f>HYPERLINK("https://business-monitor.ch/de/companies/155053-auto-ischi?utm_source=oberaargau","PROFIL ANSEHEN")</f>
        <v>PROFIL ANSEHEN</v>
      </c>
    </row>
    <row r="1805" spans="1:12" x14ac:dyDescent="0.2">
      <c r="A1805" t="s">
        <v>6453</v>
      </c>
      <c r="B1805" t="s">
        <v>6454</v>
      </c>
      <c r="C1805" t="s">
        <v>202</v>
      </c>
      <c r="E1805" t="s">
        <v>6455</v>
      </c>
      <c r="F1805">
        <v>4914</v>
      </c>
      <c r="G1805" t="s">
        <v>105</v>
      </c>
      <c r="H1805" t="s">
        <v>16</v>
      </c>
      <c r="I1805" t="s">
        <v>5250</v>
      </c>
      <c r="J1805" t="s">
        <v>5251</v>
      </c>
      <c r="K1805" t="s">
        <v>1809</v>
      </c>
      <c r="L1805" t="str">
        <f>HYPERLINK("https://business-monitor.ch/de/companies/271684-haller-glasbau-gmbh?utm_source=oberaargau","PROFIL ANSEHEN")</f>
        <v>PROFIL ANSEHEN</v>
      </c>
    </row>
    <row r="1806" spans="1:12" x14ac:dyDescent="0.2">
      <c r="A1806" t="s">
        <v>2064</v>
      </c>
      <c r="B1806" t="s">
        <v>2065</v>
      </c>
      <c r="C1806" t="s">
        <v>1812</v>
      </c>
      <c r="E1806" t="s">
        <v>2066</v>
      </c>
      <c r="F1806">
        <v>3377</v>
      </c>
      <c r="G1806" t="s">
        <v>1220</v>
      </c>
      <c r="H1806" t="s">
        <v>16</v>
      </c>
      <c r="I1806" t="s">
        <v>2067</v>
      </c>
      <c r="J1806" t="s">
        <v>2068</v>
      </c>
      <c r="K1806" t="s">
        <v>1809</v>
      </c>
      <c r="L1806" t="str">
        <f>HYPERLINK("https://business-monitor.ch/de/companies/155694-peter-christen-maurergeschaeft?utm_source=oberaargau","PROFIL ANSEHEN")</f>
        <v>PROFIL ANSEHEN</v>
      </c>
    </row>
    <row r="1807" spans="1:12" x14ac:dyDescent="0.2">
      <c r="A1807" t="s">
        <v>5220</v>
      </c>
      <c r="B1807" t="s">
        <v>5221</v>
      </c>
      <c r="C1807" t="s">
        <v>1812</v>
      </c>
      <c r="E1807" t="s">
        <v>541</v>
      </c>
      <c r="F1807">
        <v>3360</v>
      </c>
      <c r="G1807" t="s">
        <v>35</v>
      </c>
      <c r="H1807" t="s">
        <v>16</v>
      </c>
      <c r="I1807" t="s">
        <v>260</v>
      </c>
      <c r="J1807" t="s">
        <v>261</v>
      </c>
      <c r="K1807" t="s">
        <v>1809</v>
      </c>
      <c r="L1807" t="str">
        <f>HYPERLINK("https://business-monitor.ch/de/companies/90908-burgunder-architekturbuero?utm_source=oberaargau","PROFIL ANSEHEN")</f>
        <v>PROFIL ANSEHEN</v>
      </c>
    </row>
    <row r="1808" spans="1:12" x14ac:dyDescent="0.2">
      <c r="A1808" t="s">
        <v>3959</v>
      </c>
      <c r="B1808" t="s">
        <v>3960</v>
      </c>
      <c r="C1808" t="s">
        <v>202</v>
      </c>
      <c r="E1808" t="s">
        <v>3961</v>
      </c>
      <c r="F1808">
        <v>3362</v>
      </c>
      <c r="G1808" t="s">
        <v>47</v>
      </c>
      <c r="H1808" t="s">
        <v>16</v>
      </c>
      <c r="I1808" t="s">
        <v>854</v>
      </c>
      <c r="J1808" t="s">
        <v>855</v>
      </c>
      <c r="K1808" t="s">
        <v>1809</v>
      </c>
      <c r="L1808" t="str">
        <f>HYPERLINK("https://business-monitor.ch/de/companies/1046751-lanpa-gmbh?utm_source=oberaargau","PROFIL ANSEHEN")</f>
        <v>PROFIL ANSEHEN</v>
      </c>
    </row>
    <row r="1809" spans="1:12" x14ac:dyDescent="0.2">
      <c r="A1809" t="s">
        <v>5483</v>
      </c>
      <c r="B1809" t="s">
        <v>5484</v>
      </c>
      <c r="C1809" t="s">
        <v>1812</v>
      </c>
      <c r="E1809" t="s">
        <v>5485</v>
      </c>
      <c r="F1809">
        <v>3380</v>
      </c>
      <c r="G1809" t="s">
        <v>29</v>
      </c>
      <c r="H1809" t="s">
        <v>16</v>
      </c>
      <c r="I1809" t="s">
        <v>4782</v>
      </c>
      <c r="J1809" t="s">
        <v>4783</v>
      </c>
      <c r="K1809" t="s">
        <v>1809</v>
      </c>
      <c r="L1809" t="str">
        <f>HYPERLINK("https://business-monitor.ch/de/companies/158920-orthopaedie-schuhtechnik-markus-strasser?utm_source=oberaargau","PROFIL ANSEHEN")</f>
        <v>PROFIL ANSEHEN</v>
      </c>
    </row>
    <row r="1810" spans="1:12" x14ac:dyDescent="0.2">
      <c r="A1810" t="s">
        <v>8169</v>
      </c>
      <c r="B1810" t="s">
        <v>8170</v>
      </c>
      <c r="C1810" t="s">
        <v>1812</v>
      </c>
      <c r="E1810" t="s">
        <v>8171</v>
      </c>
      <c r="F1810">
        <v>3360</v>
      </c>
      <c r="G1810" t="s">
        <v>35</v>
      </c>
      <c r="H1810" t="s">
        <v>16</v>
      </c>
      <c r="I1810" t="s">
        <v>2900</v>
      </c>
      <c r="J1810" t="s">
        <v>2901</v>
      </c>
      <c r="K1810" t="s">
        <v>1809</v>
      </c>
      <c r="L1810" t="str">
        <f>HYPERLINK("https://business-monitor.ch/de/companies/173767-hugo-horisberger-autofahrschule?utm_source=oberaargau","PROFIL ANSEHEN")</f>
        <v>PROFIL ANSEHEN</v>
      </c>
    </row>
    <row r="1811" spans="1:12" x14ac:dyDescent="0.2">
      <c r="A1811" t="s">
        <v>11694</v>
      </c>
      <c r="B1811" t="s">
        <v>11695</v>
      </c>
      <c r="C1811" t="s">
        <v>202</v>
      </c>
      <c r="E1811" t="s">
        <v>1604</v>
      </c>
      <c r="F1811">
        <v>4922</v>
      </c>
      <c r="G1811" t="s">
        <v>99</v>
      </c>
      <c r="H1811" t="s">
        <v>16</v>
      </c>
      <c r="I1811" t="s">
        <v>298</v>
      </c>
      <c r="J1811" t="s">
        <v>299</v>
      </c>
      <c r="K1811" t="s">
        <v>1809</v>
      </c>
      <c r="L1811" t="str">
        <f>HYPERLINK("https://business-monitor.ch/de/companies/276204-amateco-gmbh?utm_source=oberaargau","PROFIL ANSEHEN")</f>
        <v>PROFIL ANSEHEN</v>
      </c>
    </row>
    <row r="1812" spans="1:12" x14ac:dyDescent="0.2">
      <c r="A1812" t="s">
        <v>5757</v>
      </c>
      <c r="B1812" t="s">
        <v>5758</v>
      </c>
      <c r="C1812" t="s">
        <v>202</v>
      </c>
      <c r="E1812" t="s">
        <v>2629</v>
      </c>
      <c r="F1812">
        <v>4912</v>
      </c>
      <c r="G1812" t="s">
        <v>64</v>
      </c>
      <c r="H1812" t="s">
        <v>16</v>
      </c>
      <c r="I1812" t="s">
        <v>186</v>
      </c>
      <c r="J1812" t="s">
        <v>187</v>
      </c>
      <c r="K1812" t="s">
        <v>1809</v>
      </c>
      <c r="L1812" t="str">
        <f>HYPERLINK("https://business-monitor.ch/de/companies/520143-kat-112-gmbh?utm_source=oberaargau","PROFIL ANSEHEN")</f>
        <v>PROFIL ANSEHEN</v>
      </c>
    </row>
    <row r="1813" spans="1:12" x14ac:dyDescent="0.2">
      <c r="A1813" t="s">
        <v>6356</v>
      </c>
      <c r="B1813" t="s">
        <v>6357</v>
      </c>
      <c r="C1813" t="s">
        <v>13</v>
      </c>
      <c r="E1813" t="s">
        <v>3099</v>
      </c>
      <c r="F1813">
        <v>4954</v>
      </c>
      <c r="G1813" t="s">
        <v>359</v>
      </c>
      <c r="H1813" t="s">
        <v>16</v>
      </c>
      <c r="I1813" t="s">
        <v>955</v>
      </c>
      <c r="J1813" t="s">
        <v>956</v>
      </c>
      <c r="K1813" t="s">
        <v>1809</v>
      </c>
      <c r="L1813" t="str">
        <f>HYPERLINK("https://business-monitor.ch/de/companies/313969-christian-heiniger-ag?utm_source=oberaargau","PROFIL ANSEHEN")</f>
        <v>PROFIL ANSEHEN</v>
      </c>
    </row>
    <row r="1814" spans="1:12" x14ac:dyDescent="0.2">
      <c r="A1814" t="s">
        <v>9043</v>
      </c>
      <c r="B1814" t="s">
        <v>9044</v>
      </c>
      <c r="C1814" t="s">
        <v>13</v>
      </c>
      <c r="D1814" t="s">
        <v>9045</v>
      </c>
      <c r="E1814" t="s">
        <v>9046</v>
      </c>
      <c r="F1814">
        <v>4900</v>
      </c>
      <c r="G1814" t="s">
        <v>41</v>
      </c>
      <c r="H1814" t="s">
        <v>16</v>
      </c>
      <c r="I1814" t="s">
        <v>2213</v>
      </c>
      <c r="J1814" t="s">
        <v>2214</v>
      </c>
      <c r="K1814" t="s">
        <v>1809</v>
      </c>
      <c r="L1814" t="str">
        <f>HYPERLINK("https://business-monitor.ch/de/companies/209653-fitness-center-langenthal-ag?utm_source=oberaargau","PROFIL ANSEHEN")</f>
        <v>PROFIL ANSEHEN</v>
      </c>
    </row>
    <row r="1815" spans="1:12" x14ac:dyDescent="0.2">
      <c r="A1815" t="s">
        <v>14160</v>
      </c>
      <c r="B1815" t="s">
        <v>14161</v>
      </c>
      <c r="C1815" t="s">
        <v>202</v>
      </c>
      <c r="E1815" t="s">
        <v>13341</v>
      </c>
      <c r="F1815">
        <v>3362</v>
      </c>
      <c r="G1815" t="s">
        <v>47</v>
      </c>
      <c r="H1815" t="s">
        <v>16</v>
      </c>
      <c r="I1815" t="s">
        <v>1535</v>
      </c>
      <c r="J1815" t="s">
        <v>1536</v>
      </c>
      <c r="K1815" t="s">
        <v>1809</v>
      </c>
      <c r="L1815" t="str">
        <f>HYPERLINK("https://business-monitor.ch/de/companies/1284420-baki-gartenbau-gmbh?utm_source=oberaargau","PROFIL ANSEHEN")</f>
        <v>PROFIL ANSEHEN</v>
      </c>
    </row>
    <row r="1816" spans="1:12" x14ac:dyDescent="0.2">
      <c r="A1816" t="s">
        <v>14477</v>
      </c>
      <c r="B1816" t="s">
        <v>14478</v>
      </c>
      <c r="C1816" t="s">
        <v>13</v>
      </c>
      <c r="E1816" t="s">
        <v>883</v>
      </c>
      <c r="F1816">
        <v>4900</v>
      </c>
      <c r="G1816" t="s">
        <v>41</v>
      </c>
      <c r="H1816" t="s">
        <v>16</v>
      </c>
      <c r="I1816" t="s">
        <v>186</v>
      </c>
      <c r="J1816" t="s">
        <v>187</v>
      </c>
      <c r="K1816" t="s">
        <v>1809</v>
      </c>
      <c r="L1816" t="str">
        <f>HYPERLINK("https://business-monitor.ch/de/companies/1137257-ambotec-holding-ag?utm_source=oberaargau","PROFIL ANSEHEN")</f>
        <v>PROFIL ANSEHEN</v>
      </c>
    </row>
    <row r="1817" spans="1:12" x14ac:dyDescent="0.2">
      <c r="A1817" t="s">
        <v>2926</v>
      </c>
      <c r="B1817" t="s">
        <v>2927</v>
      </c>
      <c r="C1817" t="s">
        <v>13</v>
      </c>
      <c r="E1817" t="s">
        <v>2928</v>
      </c>
      <c r="F1817">
        <v>4932</v>
      </c>
      <c r="G1817" t="s">
        <v>325</v>
      </c>
      <c r="H1817" t="s">
        <v>16</v>
      </c>
      <c r="I1817" t="s">
        <v>1491</v>
      </c>
      <c r="J1817" t="s">
        <v>1492</v>
      </c>
      <c r="K1817" t="s">
        <v>1809</v>
      </c>
      <c r="L1817" t="str">
        <f>HYPERLINK("https://business-monitor.ch/de/companies/48344-swipro-ag?utm_source=oberaargau","PROFIL ANSEHEN")</f>
        <v>PROFIL ANSEHEN</v>
      </c>
    </row>
    <row r="1818" spans="1:12" x14ac:dyDescent="0.2">
      <c r="A1818" t="s">
        <v>6419</v>
      </c>
      <c r="B1818" t="s">
        <v>6420</v>
      </c>
      <c r="C1818" t="s">
        <v>2010</v>
      </c>
      <c r="E1818" t="s">
        <v>6421</v>
      </c>
      <c r="F1818">
        <v>4932</v>
      </c>
      <c r="G1818" t="s">
        <v>325</v>
      </c>
      <c r="H1818" t="s">
        <v>16</v>
      </c>
      <c r="I1818" t="s">
        <v>824</v>
      </c>
      <c r="J1818" t="s">
        <v>825</v>
      </c>
      <c r="K1818" t="s">
        <v>1809</v>
      </c>
      <c r="L1818" t="str">
        <f>HYPERLINK("https://business-monitor.ch/de/companies/284665-kilic-kilic-und-co?utm_source=oberaargau","PROFIL ANSEHEN")</f>
        <v>PROFIL ANSEHEN</v>
      </c>
    </row>
    <row r="1819" spans="1:12" x14ac:dyDescent="0.2">
      <c r="A1819" t="s">
        <v>6625</v>
      </c>
      <c r="B1819" t="s">
        <v>6626</v>
      </c>
      <c r="C1819" t="s">
        <v>202</v>
      </c>
      <c r="E1819" t="s">
        <v>6627</v>
      </c>
      <c r="F1819">
        <v>4900</v>
      </c>
      <c r="G1819" t="s">
        <v>41</v>
      </c>
      <c r="H1819" t="s">
        <v>16</v>
      </c>
      <c r="I1819" t="s">
        <v>596</v>
      </c>
      <c r="J1819" t="s">
        <v>597</v>
      </c>
      <c r="K1819" t="s">
        <v>1809</v>
      </c>
      <c r="L1819" t="str">
        <f>HYPERLINK("https://business-monitor.ch/de/companies/189420-getraenkehaus-langenthal-gmbh?utm_source=oberaargau","PROFIL ANSEHEN")</f>
        <v>PROFIL ANSEHEN</v>
      </c>
    </row>
    <row r="1820" spans="1:12" x14ac:dyDescent="0.2">
      <c r="A1820" t="s">
        <v>4193</v>
      </c>
      <c r="B1820" t="s">
        <v>4194</v>
      </c>
      <c r="C1820" t="s">
        <v>13</v>
      </c>
      <c r="E1820" t="s">
        <v>4195</v>
      </c>
      <c r="F1820">
        <v>4923</v>
      </c>
      <c r="G1820" t="s">
        <v>732</v>
      </c>
      <c r="H1820" t="s">
        <v>16</v>
      </c>
      <c r="I1820" t="s">
        <v>507</v>
      </c>
      <c r="J1820" t="s">
        <v>508</v>
      </c>
      <c r="K1820" t="s">
        <v>1809</v>
      </c>
      <c r="L1820" t="str">
        <f>HYPERLINK("https://business-monitor.ch/de/companies/1009885-sk-franchising-ag?utm_source=oberaargau","PROFIL ANSEHEN")</f>
        <v>PROFIL ANSEHEN</v>
      </c>
    </row>
    <row r="1821" spans="1:12" x14ac:dyDescent="0.2">
      <c r="A1821" t="s">
        <v>14215</v>
      </c>
      <c r="B1821" t="s">
        <v>14216</v>
      </c>
      <c r="C1821" t="s">
        <v>202</v>
      </c>
      <c r="E1821" t="s">
        <v>14217</v>
      </c>
      <c r="F1821">
        <v>4950</v>
      </c>
      <c r="G1821" t="s">
        <v>15</v>
      </c>
      <c r="H1821" t="s">
        <v>16</v>
      </c>
      <c r="I1821" t="s">
        <v>1936</v>
      </c>
      <c r="J1821" t="s">
        <v>1937</v>
      </c>
      <c r="K1821" t="s">
        <v>1809</v>
      </c>
      <c r="L1821" t="str">
        <f>HYPERLINK("https://business-monitor.ch/de/companies/1293518-drohnendienstleistung-flueckiger-gmbh?utm_source=oberaargau","PROFIL ANSEHEN")</f>
        <v>PROFIL ANSEHEN</v>
      </c>
    </row>
    <row r="1822" spans="1:12" x14ac:dyDescent="0.2">
      <c r="A1822" t="s">
        <v>1806</v>
      </c>
      <c r="B1822" t="s">
        <v>1807</v>
      </c>
      <c r="C1822" t="s">
        <v>13</v>
      </c>
      <c r="E1822" t="s">
        <v>1808</v>
      </c>
      <c r="F1822">
        <v>4704</v>
      </c>
      <c r="G1822" t="s">
        <v>221</v>
      </c>
      <c r="H1822" t="s">
        <v>16</v>
      </c>
      <c r="I1822" t="s">
        <v>331</v>
      </c>
      <c r="J1822" t="s">
        <v>332</v>
      </c>
      <c r="K1822" t="s">
        <v>1809</v>
      </c>
      <c r="L1822" t="str">
        <f>HYPERLINK("https://business-monitor.ch/de/companies/173511-daetwyler-fertigungs-technologie-ag?utm_source=oberaargau","PROFIL ANSEHEN")</f>
        <v>PROFIL ANSEHEN</v>
      </c>
    </row>
    <row r="1823" spans="1:12" x14ac:dyDescent="0.2">
      <c r="A1823" t="s">
        <v>9128</v>
      </c>
      <c r="B1823" t="s">
        <v>9129</v>
      </c>
      <c r="C1823" t="s">
        <v>1812</v>
      </c>
      <c r="E1823" t="s">
        <v>9130</v>
      </c>
      <c r="F1823">
        <v>4933</v>
      </c>
      <c r="G1823" t="s">
        <v>3812</v>
      </c>
      <c r="H1823" t="s">
        <v>16</v>
      </c>
      <c r="I1823" t="s">
        <v>642</v>
      </c>
      <c r="J1823" t="s">
        <v>643</v>
      </c>
      <c r="K1823" t="s">
        <v>1809</v>
      </c>
      <c r="L1823" t="str">
        <f>HYPERLINK("https://business-monitor.ch/de/companies/171651-berg-garage-carrosserie-daniel-affentranger?utm_source=oberaargau","PROFIL ANSEHEN")</f>
        <v>PROFIL ANSEHEN</v>
      </c>
    </row>
    <row r="1824" spans="1:12" x14ac:dyDescent="0.2">
      <c r="A1824" t="s">
        <v>5130</v>
      </c>
      <c r="B1824" t="s">
        <v>5131</v>
      </c>
      <c r="C1824" t="s">
        <v>13</v>
      </c>
      <c r="E1824" t="s">
        <v>5132</v>
      </c>
      <c r="F1824">
        <v>4950</v>
      </c>
      <c r="G1824" t="s">
        <v>15</v>
      </c>
      <c r="H1824" t="s">
        <v>16</v>
      </c>
      <c r="I1824" t="s">
        <v>565</v>
      </c>
      <c r="J1824" t="s">
        <v>566</v>
      </c>
      <c r="K1824" t="s">
        <v>1809</v>
      </c>
      <c r="L1824" t="str">
        <f>HYPERLINK("https://business-monitor.ch/de/companies/1057713-baeckerei-confiserie-glacerie-lienhart-ag?utm_source=oberaargau","PROFIL ANSEHEN")</f>
        <v>PROFIL ANSEHEN</v>
      </c>
    </row>
    <row r="1825" spans="1:12" x14ac:dyDescent="0.2">
      <c r="A1825" t="s">
        <v>431</v>
      </c>
      <c r="B1825" t="s">
        <v>12292</v>
      </c>
      <c r="C1825" t="s">
        <v>13</v>
      </c>
      <c r="E1825" t="s">
        <v>432</v>
      </c>
      <c r="F1825">
        <v>4953</v>
      </c>
      <c r="G1825" t="s">
        <v>416</v>
      </c>
      <c r="H1825" t="s">
        <v>16</v>
      </c>
      <c r="I1825" t="s">
        <v>433</v>
      </c>
      <c r="J1825" t="s">
        <v>434</v>
      </c>
      <c r="K1825" t="s">
        <v>1809</v>
      </c>
      <c r="L1825" t="str">
        <f>HYPERLINK("https://business-monitor.ch/de/companies/373414-campus-perspektiven-huttwil-ag?utm_source=oberaargau","PROFIL ANSEHEN")</f>
        <v>PROFIL ANSEHEN</v>
      </c>
    </row>
    <row r="1826" spans="1:12" x14ac:dyDescent="0.2">
      <c r="A1826" t="s">
        <v>14128</v>
      </c>
      <c r="B1826" t="s">
        <v>14129</v>
      </c>
      <c r="C1826" t="s">
        <v>13</v>
      </c>
      <c r="D1826" t="s">
        <v>4974</v>
      </c>
      <c r="E1826" t="s">
        <v>3372</v>
      </c>
      <c r="F1826">
        <v>4900</v>
      </c>
      <c r="G1826" t="s">
        <v>41</v>
      </c>
      <c r="H1826" t="s">
        <v>16</v>
      </c>
      <c r="I1826" t="s">
        <v>186</v>
      </c>
      <c r="J1826" t="s">
        <v>187</v>
      </c>
      <c r="K1826" t="s">
        <v>1809</v>
      </c>
      <c r="L1826" t="str">
        <f>HYPERLINK("https://business-monitor.ch/de/companies/1291800-gpp-holding-ag?utm_source=oberaargau","PROFIL ANSEHEN")</f>
        <v>PROFIL ANSEHEN</v>
      </c>
    </row>
    <row r="1827" spans="1:12" x14ac:dyDescent="0.2">
      <c r="A1827" t="s">
        <v>9614</v>
      </c>
      <c r="B1827" t="s">
        <v>9615</v>
      </c>
      <c r="C1827" t="s">
        <v>202</v>
      </c>
      <c r="E1827" t="s">
        <v>9616</v>
      </c>
      <c r="F1827">
        <v>3360</v>
      </c>
      <c r="G1827" t="s">
        <v>35</v>
      </c>
      <c r="H1827" t="s">
        <v>16</v>
      </c>
      <c r="I1827" t="s">
        <v>551</v>
      </c>
      <c r="J1827" t="s">
        <v>552</v>
      </c>
      <c r="K1827" t="s">
        <v>1809</v>
      </c>
      <c r="L1827" t="str">
        <f>HYPERLINK("https://business-monitor.ch/de/companies/578766-burkhalter-protem-gmbh?utm_source=oberaargau","PROFIL ANSEHEN")</f>
        <v>PROFIL ANSEHEN</v>
      </c>
    </row>
    <row r="1828" spans="1:12" x14ac:dyDescent="0.2">
      <c r="A1828" t="s">
        <v>5481</v>
      </c>
      <c r="B1828" t="s">
        <v>5482</v>
      </c>
      <c r="C1828" t="s">
        <v>2010</v>
      </c>
      <c r="F1828">
        <v>4942</v>
      </c>
      <c r="G1828" t="s">
        <v>5006</v>
      </c>
      <c r="H1828" t="s">
        <v>16</v>
      </c>
      <c r="I1828" t="s">
        <v>624</v>
      </c>
      <c r="J1828" t="s">
        <v>625</v>
      </c>
      <c r="K1828" t="s">
        <v>1809</v>
      </c>
      <c r="L1828" t="str">
        <f>HYPERLINK("https://business-monitor.ch/de/companies/175194-hans-rudolf-zaugg-co?utm_source=oberaargau","PROFIL ANSEHEN")</f>
        <v>PROFIL ANSEHEN</v>
      </c>
    </row>
    <row r="1829" spans="1:12" x14ac:dyDescent="0.2">
      <c r="A1829" t="s">
        <v>10909</v>
      </c>
      <c r="B1829" t="s">
        <v>10910</v>
      </c>
      <c r="C1829" t="s">
        <v>1827</v>
      </c>
      <c r="E1829" t="s">
        <v>10911</v>
      </c>
      <c r="F1829">
        <v>4539</v>
      </c>
      <c r="G1829" t="s">
        <v>23</v>
      </c>
      <c r="H1829" t="s">
        <v>16</v>
      </c>
      <c r="I1829" t="s">
        <v>2619</v>
      </c>
      <c r="J1829" t="s">
        <v>2620</v>
      </c>
      <c r="K1829" t="s">
        <v>1809</v>
      </c>
      <c r="L1829" t="str">
        <f>HYPERLINK("https://business-monitor.ch/de/companies/1105804-alpwirtschaft-vordere-schmiedenmatt-scheidegger-klg?utm_source=oberaargau","PROFIL ANSEHEN")</f>
        <v>PROFIL ANSEHEN</v>
      </c>
    </row>
    <row r="1830" spans="1:12" x14ac:dyDescent="0.2">
      <c r="A1830" t="s">
        <v>8369</v>
      </c>
      <c r="B1830" t="s">
        <v>8370</v>
      </c>
      <c r="C1830" t="s">
        <v>1812</v>
      </c>
      <c r="E1830" t="s">
        <v>8365</v>
      </c>
      <c r="F1830">
        <v>4900</v>
      </c>
      <c r="G1830" t="s">
        <v>41</v>
      </c>
      <c r="H1830" t="s">
        <v>16</v>
      </c>
      <c r="I1830" t="s">
        <v>854</v>
      </c>
      <c r="J1830" t="s">
        <v>855</v>
      </c>
      <c r="K1830" t="s">
        <v>1809</v>
      </c>
      <c r="L1830" t="str">
        <f>HYPERLINK("https://business-monitor.ch/de/companies/177801-uss-user-software-service-beat-stoller?utm_source=oberaargau","PROFIL ANSEHEN")</f>
        <v>PROFIL ANSEHEN</v>
      </c>
    </row>
    <row r="1831" spans="1:12" x14ac:dyDescent="0.2">
      <c r="A1831" t="s">
        <v>9066</v>
      </c>
      <c r="B1831" t="s">
        <v>9067</v>
      </c>
      <c r="C1831" t="s">
        <v>1812</v>
      </c>
      <c r="E1831" t="s">
        <v>9068</v>
      </c>
      <c r="F1831">
        <v>4934</v>
      </c>
      <c r="G1831" t="s">
        <v>670</v>
      </c>
      <c r="H1831" t="s">
        <v>16</v>
      </c>
      <c r="I1831" t="s">
        <v>4577</v>
      </c>
      <c r="J1831" t="s">
        <v>4578</v>
      </c>
      <c r="K1831" t="s">
        <v>1809</v>
      </c>
      <c r="L1831" t="str">
        <f>HYPERLINK("https://business-monitor.ch/de/companies/182946-bildhaueratelier-krause?utm_source=oberaargau","PROFIL ANSEHEN")</f>
        <v>PROFIL ANSEHEN</v>
      </c>
    </row>
    <row r="1832" spans="1:12" x14ac:dyDescent="0.2">
      <c r="A1832" t="s">
        <v>6643</v>
      </c>
      <c r="B1832" t="s">
        <v>6644</v>
      </c>
      <c r="C1832" t="s">
        <v>202</v>
      </c>
      <c r="F1832">
        <v>4955</v>
      </c>
      <c r="G1832" t="s">
        <v>684</v>
      </c>
      <c r="H1832" t="s">
        <v>16</v>
      </c>
      <c r="I1832" t="s">
        <v>1470</v>
      </c>
      <c r="J1832" t="s">
        <v>1471</v>
      </c>
      <c r="K1832" t="s">
        <v>1809</v>
      </c>
      <c r="L1832" t="str">
        <f>HYPERLINK("https://business-monitor.ch/de/companies/181068-kleeb-sanitaer-gmbh?utm_source=oberaargau","PROFIL ANSEHEN")</f>
        <v>PROFIL ANSEHEN</v>
      </c>
    </row>
    <row r="1833" spans="1:12" x14ac:dyDescent="0.2">
      <c r="A1833" t="s">
        <v>11353</v>
      </c>
      <c r="B1833" t="s">
        <v>11354</v>
      </c>
      <c r="C1833" t="s">
        <v>1922</v>
      </c>
      <c r="E1833" t="s">
        <v>11355</v>
      </c>
      <c r="F1833">
        <v>4900</v>
      </c>
      <c r="G1833" t="s">
        <v>41</v>
      </c>
      <c r="H1833" t="s">
        <v>16</v>
      </c>
      <c r="I1833" t="s">
        <v>640</v>
      </c>
      <c r="J1833" t="s">
        <v>641</v>
      </c>
      <c r="K1833" t="s">
        <v>1809</v>
      </c>
      <c r="L1833" t="str">
        <f>HYPERLINK("https://business-monitor.ch/de/companies/1124295-stiftung-kinder-und-juniorenfussball-langenthal?utm_source=oberaargau","PROFIL ANSEHEN")</f>
        <v>PROFIL ANSEHEN</v>
      </c>
    </row>
    <row r="1834" spans="1:12" x14ac:dyDescent="0.2">
      <c r="A1834" t="s">
        <v>7789</v>
      </c>
      <c r="B1834" t="s">
        <v>7790</v>
      </c>
      <c r="C1834" t="s">
        <v>202</v>
      </c>
      <c r="E1834" t="s">
        <v>1058</v>
      </c>
      <c r="F1834">
        <v>3360</v>
      </c>
      <c r="G1834" t="s">
        <v>35</v>
      </c>
      <c r="H1834" t="s">
        <v>16</v>
      </c>
      <c r="I1834" t="s">
        <v>232</v>
      </c>
      <c r="J1834" t="s">
        <v>233</v>
      </c>
      <c r="K1834" t="s">
        <v>1809</v>
      </c>
      <c r="L1834" t="str">
        <f>HYPERLINK("https://business-monitor.ch/de/companies/552115-gevors-gmbh?utm_source=oberaargau","PROFIL ANSEHEN")</f>
        <v>PROFIL ANSEHEN</v>
      </c>
    </row>
    <row r="1835" spans="1:12" x14ac:dyDescent="0.2">
      <c r="A1835" t="s">
        <v>11278</v>
      </c>
      <c r="B1835" t="s">
        <v>11279</v>
      </c>
      <c r="C1835" t="s">
        <v>1812</v>
      </c>
      <c r="E1835" t="s">
        <v>11280</v>
      </c>
      <c r="F1835">
        <v>4942</v>
      </c>
      <c r="G1835" t="s">
        <v>1287</v>
      </c>
      <c r="H1835" t="s">
        <v>16</v>
      </c>
      <c r="I1835" t="s">
        <v>1062</v>
      </c>
      <c r="J1835" t="s">
        <v>1063</v>
      </c>
      <c r="K1835" t="s">
        <v>1809</v>
      </c>
      <c r="L1835" t="str">
        <f>HYPERLINK("https://business-monitor.ch/de/companies/1132618-plattenleger-retzo?utm_source=oberaargau","PROFIL ANSEHEN")</f>
        <v>PROFIL ANSEHEN</v>
      </c>
    </row>
    <row r="1836" spans="1:12" x14ac:dyDescent="0.2">
      <c r="A1836" t="s">
        <v>10265</v>
      </c>
      <c r="B1836" t="s">
        <v>10266</v>
      </c>
      <c r="C1836" t="s">
        <v>13</v>
      </c>
      <c r="E1836" t="s">
        <v>10267</v>
      </c>
      <c r="F1836">
        <v>4537</v>
      </c>
      <c r="G1836" t="s">
        <v>113</v>
      </c>
      <c r="H1836" t="s">
        <v>16</v>
      </c>
      <c r="I1836" t="s">
        <v>182</v>
      </c>
      <c r="J1836" t="s">
        <v>183</v>
      </c>
      <c r="K1836" t="s">
        <v>1809</v>
      </c>
      <c r="L1836" t="str">
        <f>HYPERLINK("https://business-monitor.ch/de/companies/587719-urs-weber-holding-ag?utm_source=oberaargau","PROFIL ANSEHEN")</f>
        <v>PROFIL ANSEHEN</v>
      </c>
    </row>
    <row r="1837" spans="1:12" x14ac:dyDescent="0.2">
      <c r="A1837" t="s">
        <v>5352</v>
      </c>
      <c r="B1837" t="s">
        <v>5353</v>
      </c>
      <c r="C1837" t="s">
        <v>1812</v>
      </c>
      <c r="E1837" t="s">
        <v>3608</v>
      </c>
      <c r="F1837">
        <v>4950</v>
      </c>
      <c r="G1837" t="s">
        <v>15</v>
      </c>
      <c r="H1837" t="s">
        <v>16</v>
      </c>
      <c r="I1837" t="s">
        <v>3864</v>
      </c>
      <c r="J1837" t="s">
        <v>3865</v>
      </c>
      <c r="K1837" t="s">
        <v>1809</v>
      </c>
      <c r="L1837" t="str">
        <f>HYPERLINK("https://business-monitor.ch/de/companies/209941-fotografica-rolf-sutter?utm_source=oberaargau","PROFIL ANSEHEN")</f>
        <v>PROFIL ANSEHEN</v>
      </c>
    </row>
    <row r="1838" spans="1:12" x14ac:dyDescent="0.2">
      <c r="A1838" t="s">
        <v>3048</v>
      </c>
      <c r="B1838" t="s">
        <v>3049</v>
      </c>
      <c r="C1838" t="s">
        <v>202</v>
      </c>
      <c r="E1838" t="s">
        <v>3050</v>
      </c>
      <c r="F1838">
        <v>3365</v>
      </c>
      <c r="G1838" t="s">
        <v>1008</v>
      </c>
      <c r="H1838" t="s">
        <v>16</v>
      </c>
      <c r="I1838" t="s">
        <v>1535</v>
      </c>
      <c r="J1838" t="s">
        <v>1536</v>
      </c>
      <c r="K1838" t="s">
        <v>1809</v>
      </c>
      <c r="L1838" t="str">
        <f>HYPERLINK("https://business-monitor.ch/de/companies/349876-mandrey-gmbh?utm_source=oberaargau","PROFIL ANSEHEN")</f>
        <v>PROFIL ANSEHEN</v>
      </c>
    </row>
    <row r="1839" spans="1:12" x14ac:dyDescent="0.2">
      <c r="A1839" t="s">
        <v>10870</v>
      </c>
      <c r="B1839" t="s">
        <v>10871</v>
      </c>
      <c r="C1839" t="s">
        <v>202</v>
      </c>
      <c r="E1839" t="s">
        <v>3190</v>
      </c>
      <c r="F1839">
        <v>4900</v>
      </c>
      <c r="G1839" t="s">
        <v>41</v>
      </c>
      <c r="H1839" t="s">
        <v>16</v>
      </c>
      <c r="I1839" t="s">
        <v>3493</v>
      </c>
      <c r="J1839" t="s">
        <v>3494</v>
      </c>
      <c r="K1839" t="s">
        <v>1809</v>
      </c>
      <c r="L1839" t="str">
        <f>HYPERLINK("https://business-monitor.ch/de/companies/1101163-finanzatelier-gmbh?utm_source=oberaargau","PROFIL ANSEHEN")</f>
        <v>PROFIL ANSEHEN</v>
      </c>
    </row>
    <row r="1840" spans="1:12" x14ac:dyDescent="0.2">
      <c r="A1840" t="s">
        <v>13455</v>
      </c>
      <c r="B1840" t="s">
        <v>13456</v>
      </c>
      <c r="C1840" t="s">
        <v>5439</v>
      </c>
      <c r="E1840" t="s">
        <v>13457</v>
      </c>
      <c r="F1840">
        <v>3380</v>
      </c>
      <c r="G1840" t="s">
        <v>29</v>
      </c>
      <c r="H1840" t="s">
        <v>16</v>
      </c>
      <c r="I1840" t="s">
        <v>3068</v>
      </c>
      <c r="J1840" t="s">
        <v>3069</v>
      </c>
      <c r="K1840" t="s">
        <v>1809</v>
      </c>
      <c r="L1840" t="str">
        <f>HYPERLINK("https://business-monitor.ch/de/companies/1253215-holistic-it-international-ltd-london-zweigniederlassung-wangen-an-der-aare?utm_source=oberaargau","PROFIL ANSEHEN")</f>
        <v>PROFIL ANSEHEN</v>
      </c>
    </row>
    <row r="1841" spans="1:12" x14ac:dyDescent="0.2">
      <c r="A1841" t="s">
        <v>8638</v>
      </c>
      <c r="B1841" t="s">
        <v>8639</v>
      </c>
      <c r="C1841" t="s">
        <v>202</v>
      </c>
      <c r="E1841" t="s">
        <v>4212</v>
      </c>
      <c r="F1841">
        <v>4900</v>
      </c>
      <c r="G1841" t="s">
        <v>41</v>
      </c>
      <c r="H1841" t="s">
        <v>16</v>
      </c>
      <c r="I1841" t="s">
        <v>6019</v>
      </c>
      <c r="J1841" t="s">
        <v>6020</v>
      </c>
      <c r="K1841" t="s">
        <v>1809</v>
      </c>
      <c r="L1841" t="str">
        <f>HYPERLINK("https://business-monitor.ch/de/companies/428205-art-group-gmbh?utm_source=oberaargau","PROFIL ANSEHEN")</f>
        <v>PROFIL ANSEHEN</v>
      </c>
    </row>
    <row r="1842" spans="1:12" x14ac:dyDescent="0.2">
      <c r="A1842" t="s">
        <v>11070</v>
      </c>
      <c r="B1842" t="s">
        <v>11071</v>
      </c>
      <c r="C1842" t="s">
        <v>1827</v>
      </c>
      <c r="E1842" t="s">
        <v>11072</v>
      </c>
      <c r="F1842">
        <v>4537</v>
      </c>
      <c r="G1842" t="s">
        <v>113</v>
      </c>
      <c r="H1842" t="s">
        <v>16</v>
      </c>
      <c r="I1842" t="s">
        <v>824</v>
      </c>
      <c r="J1842" t="s">
        <v>825</v>
      </c>
      <c r="K1842" t="s">
        <v>1809</v>
      </c>
      <c r="L1842" t="str">
        <f>HYPERLINK("https://business-monitor.ch/de/companies/1115156-dameluma-klg?utm_source=oberaargau","PROFIL ANSEHEN")</f>
        <v>PROFIL ANSEHEN</v>
      </c>
    </row>
    <row r="1843" spans="1:12" x14ac:dyDescent="0.2">
      <c r="A1843" t="s">
        <v>11133</v>
      </c>
      <c r="B1843" t="s">
        <v>11134</v>
      </c>
      <c r="C1843" t="s">
        <v>202</v>
      </c>
      <c r="D1843" t="s">
        <v>11135</v>
      </c>
      <c r="E1843" t="s">
        <v>11136</v>
      </c>
      <c r="F1843">
        <v>4933</v>
      </c>
      <c r="G1843" t="s">
        <v>3812</v>
      </c>
      <c r="H1843" t="s">
        <v>16</v>
      </c>
      <c r="I1843" t="s">
        <v>587</v>
      </c>
      <c r="J1843" t="s">
        <v>588</v>
      </c>
      <c r="K1843" t="s">
        <v>1809</v>
      </c>
      <c r="L1843" t="str">
        <f>HYPERLINK("https://business-monitor.ch/de/companies/1120762-sing-gmbh?utm_source=oberaargau","PROFIL ANSEHEN")</f>
        <v>PROFIL ANSEHEN</v>
      </c>
    </row>
    <row r="1844" spans="1:12" x14ac:dyDescent="0.2">
      <c r="A1844" t="s">
        <v>11425</v>
      </c>
      <c r="B1844" t="s">
        <v>11426</v>
      </c>
      <c r="C1844" t="s">
        <v>202</v>
      </c>
      <c r="E1844" t="s">
        <v>7422</v>
      </c>
      <c r="F1844">
        <v>4900</v>
      </c>
      <c r="G1844" t="s">
        <v>41</v>
      </c>
      <c r="H1844" t="s">
        <v>16</v>
      </c>
      <c r="I1844" t="s">
        <v>1841</v>
      </c>
      <c r="J1844" t="s">
        <v>1842</v>
      </c>
      <c r="K1844" t="s">
        <v>1809</v>
      </c>
      <c r="L1844" t="str">
        <f>HYPERLINK("https://business-monitor.ch/de/companies/1133161-polyoffica-gmbh?utm_source=oberaargau","PROFIL ANSEHEN")</f>
        <v>PROFIL ANSEHEN</v>
      </c>
    </row>
    <row r="1845" spans="1:12" x14ac:dyDescent="0.2">
      <c r="A1845" t="s">
        <v>9938</v>
      </c>
      <c r="B1845" t="s">
        <v>9939</v>
      </c>
      <c r="C1845" t="s">
        <v>202</v>
      </c>
      <c r="D1845" t="s">
        <v>11692</v>
      </c>
      <c r="E1845" t="s">
        <v>9940</v>
      </c>
      <c r="F1845">
        <v>4537</v>
      </c>
      <c r="G1845" t="s">
        <v>113</v>
      </c>
      <c r="H1845" t="s">
        <v>16</v>
      </c>
      <c r="I1845" t="s">
        <v>906</v>
      </c>
      <c r="J1845" t="s">
        <v>907</v>
      </c>
      <c r="K1845" t="s">
        <v>1809</v>
      </c>
      <c r="L1845" t="str">
        <f>HYPERLINK("https://business-monitor.ch/de/companies/951573-bueuenemaetteli-immobilien-gmbh?utm_source=oberaargau","PROFIL ANSEHEN")</f>
        <v>PROFIL ANSEHEN</v>
      </c>
    </row>
    <row r="1846" spans="1:12" x14ac:dyDescent="0.2">
      <c r="A1846" t="s">
        <v>6168</v>
      </c>
      <c r="B1846" t="s">
        <v>6169</v>
      </c>
      <c r="C1846" t="s">
        <v>13</v>
      </c>
      <c r="D1846" t="s">
        <v>6170</v>
      </c>
      <c r="E1846" t="s">
        <v>799</v>
      </c>
      <c r="F1846">
        <v>3360</v>
      </c>
      <c r="G1846" t="s">
        <v>35</v>
      </c>
      <c r="H1846" t="s">
        <v>16</v>
      </c>
      <c r="I1846" t="s">
        <v>2397</v>
      </c>
      <c r="J1846" t="s">
        <v>2398</v>
      </c>
      <c r="K1846" t="s">
        <v>1809</v>
      </c>
      <c r="L1846" t="str">
        <f>HYPERLINK("https://business-monitor.ch/de/companies/387104-mz-immobilien-ag?utm_source=oberaargau","PROFIL ANSEHEN")</f>
        <v>PROFIL ANSEHEN</v>
      </c>
    </row>
    <row r="1847" spans="1:12" x14ac:dyDescent="0.2">
      <c r="A1847" t="s">
        <v>7712</v>
      </c>
      <c r="B1847" t="s">
        <v>7713</v>
      </c>
      <c r="C1847" t="s">
        <v>202</v>
      </c>
      <c r="E1847" t="s">
        <v>6149</v>
      </c>
      <c r="F1847">
        <v>3366</v>
      </c>
      <c r="G1847" t="s">
        <v>728</v>
      </c>
      <c r="H1847" t="s">
        <v>16</v>
      </c>
      <c r="I1847" t="s">
        <v>2897</v>
      </c>
      <c r="J1847" t="s">
        <v>2898</v>
      </c>
      <c r="K1847" t="s">
        <v>1809</v>
      </c>
      <c r="L1847" t="str">
        <f>HYPERLINK("https://business-monitor.ch/de/companies/607633-hug-und-leu-gmbh?utm_source=oberaargau","PROFIL ANSEHEN")</f>
        <v>PROFIL ANSEHEN</v>
      </c>
    </row>
    <row r="1848" spans="1:12" x14ac:dyDescent="0.2">
      <c r="A1848" t="s">
        <v>10457</v>
      </c>
      <c r="B1848" t="s">
        <v>10458</v>
      </c>
      <c r="C1848" t="s">
        <v>1812</v>
      </c>
      <c r="E1848" t="s">
        <v>10459</v>
      </c>
      <c r="F1848">
        <v>4952</v>
      </c>
      <c r="G1848" t="s">
        <v>474</v>
      </c>
      <c r="H1848" t="s">
        <v>16</v>
      </c>
      <c r="I1848" t="s">
        <v>5372</v>
      </c>
      <c r="J1848" t="s">
        <v>5373</v>
      </c>
      <c r="K1848" t="s">
        <v>1809</v>
      </c>
      <c r="L1848" t="str">
        <f>HYPERLINK("https://business-monitor.ch/de/companies/84412-peter-wyss?utm_source=oberaargau","PROFIL ANSEHEN")</f>
        <v>PROFIL ANSEHEN</v>
      </c>
    </row>
    <row r="1849" spans="1:12" x14ac:dyDescent="0.2">
      <c r="A1849" t="s">
        <v>7928</v>
      </c>
      <c r="B1849" t="s">
        <v>7929</v>
      </c>
      <c r="C1849" t="s">
        <v>13</v>
      </c>
      <c r="E1849" t="s">
        <v>550</v>
      </c>
      <c r="F1849">
        <v>4900</v>
      </c>
      <c r="G1849" t="s">
        <v>41</v>
      </c>
      <c r="H1849" t="s">
        <v>16</v>
      </c>
      <c r="I1849" t="s">
        <v>1097</v>
      </c>
      <c r="J1849" t="s">
        <v>1098</v>
      </c>
      <c r="K1849" t="s">
        <v>1809</v>
      </c>
      <c r="L1849" t="str">
        <f>HYPERLINK("https://business-monitor.ch/de/companies/722423-fishbreak-ag?utm_source=oberaargau","PROFIL ANSEHEN")</f>
        <v>PROFIL ANSEHEN</v>
      </c>
    </row>
    <row r="1850" spans="1:12" x14ac:dyDescent="0.2">
      <c r="A1850" t="s">
        <v>4937</v>
      </c>
      <c r="B1850" t="s">
        <v>4938</v>
      </c>
      <c r="C1850" t="s">
        <v>202</v>
      </c>
      <c r="E1850" t="s">
        <v>4939</v>
      </c>
      <c r="F1850">
        <v>3368</v>
      </c>
      <c r="G1850" t="s">
        <v>308</v>
      </c>
      <c r="H1850" t="s">
        <v>16</v>
      </c>
      <c r="I1850" t="s">
        <v>4940</v>
      </c>
      <c r="J1850" t="s">
        <v>4941</v>
      </c>
      <c r="K1850" t="s">
        <v>1809</v>
      </c>
      <c r="L1850" t="str">
        <f>HYPERLINK("https://business-monitor.ch/de/companies/571413-betaplus-bleienbach-gmbh?utm_source=oberaargau","PROFIL ANSEHEN")</f>
        <v>PROFIL ANSEHEN</v>
      </c>
    </row>
    <row r="1851" spans="1:12" x14ac:dyDescent="0.2">
      <c r="A1851" t="s">
        <v>5738</v>
      </c>
      <c r="B1851" t="s">
        <v>5739</v>
      </c>
      <c r="C1851" t="s">
        <v>202</v>
      </c>
      <c r="E1851" t="s">
        <v>5740</v>
      </c>
      <c r="F1851">
        <v>3380</v>
      </c>
      <c r="G1851" t="s">
        <v>29</v>
      </c>
      <c r="H1851" t="s">
        <v>16</v>
      </c>
      <c r="I1851" t="s">
        <v>175</v>
      </c>
      <c r="J1851" t="s">
        <v>176</v>
      </c>
      <c r="K1851" t="s">
        <v>1809</v>
      </c>
      <c r="L1851" t="str">
        <f>HYPERLINK("https://business-monitor.ch/de/companies/527520-marco-kurt-dellentechnik-gmbh?utm_source=oberaargau","PROFIL ANSEHEN")</f>
        <v>PROFIL ANSEHEN</v>
      </c>
    </row>
    <row r="1852" spans="1:12" x14ac:dyDescent="0.2">
      <c r="A1852" t="s">
        <v>9930</v>
      </c>
      <c r="B1852" t="s">
        <v>9931</v>
      </c>
      <c r="C1852" t="s">
        <v>1812</v>
      </c>
      <c r="E1852" t="s">
        <v>2073</v>
      </c>
      <c r="F1852">
        <v>3360</v>
      </c>
      <c r="G1852" t="s">
        <v>35</v>
      </c>
      <c r="H1852" t="s">
        <v>16</v>
      </c>
      <c r="I1852" t="s">
        <v>824</v>
      </c>
      <c r="J1852" t="s">
        <v>825</v>
      </c>
      <c r="K1852" t="s">
        <v>1809</v>
      </c>
      <c r="L1852" t="str">
        <f>HYPERLINK("https://business-monitor.ch/de/companies/954873-tape-bar-restaurant-tafoski?utm_source=oberaargau","PROFIL ANSEHEN")</f>
        <v>PROFIL ANSEHEN</v>
      </c>
    </row>
    <row r="1853" spans="1:12" x14ac:dyDescent="0.2">
      <c r="A1853" t="s">
        <v>8469</v>
      </c>
      <c r="B1853" t="s">
        <v>8470</v>
      </c>
      <c r="C1853" t="s">
        <v>1812</v>
      </c>
      <c r="E1853" t="s">
        <v>8471</v>
      </c>
      <c r="F1853">
        <v>3373</v>
      </c>
      <c r="G1853" t="s">
        <v>2429</v>
      </c>
      <c r="H1853" t="s">
        <v>16</v>
      </c>
      <c r="I1853" t="s">
        <v>3493</v>
      </c>
      <c r="J1853" t="s">
        <v>3494</v>
      </c>
      <c r="K1853" t="s">
        <v>1809</v>
      </c>
      <c r="L1853" t="str">
        <f>HYPERLINK("https://business-monitor.ch/de/companies/1078508-budget-balance-sonja-maerki?utm_source=oberaargau","PROFIL ANSEHEN")</f>
        <v>PROFIL ANSEHEN</v>
      </c>
    </row>
    <row r="1854" spans="1:12" x14ac:dyDescent="0.2">
      <c r="A1854" t="s">
        <v>6069</v>
      </c>
      <c r="B1854" t="s">
        <v>6070</v>
      </c>
      <c r="C1854" t="s">
        <v>1812</v>
      </c>
      <c r="E1854" t="s">
        <v>1822</v>
      </c>
      <c r="F1854">
        <v>3380</v>
      </c>
      <c r="G1854" t="s">
        <v>29</v>
      </c>
      <c r="H1854" t="s">
        <v>16</v>
      </c>
      <c r="I1854" t="s">
        <v>1860</v>
      </c>
      <c r="J1854" t="s">
        <v>1861</v>
      </c>
      <c r="K1854" t="s">
        <v>1809</v>
      </c>
      <c r="L1854" t="str">
        <f>HYPERLINK("https://business-monitor.ch/de/companies/415777-lila-coiffeur-nascarella?utm_source=oberaargau","PROFIL ANSEHEN")</f>
        <v>PROFIL ANSEHEN</v>
      </c>
    </row>
    <row r="1855" spans="1:12" x14ac:dyDescent="0.2">
      <c r="A1855" t="s">
        <v>8476</v>
      </c>
      <c r="B1855" t="s">
        <v>8477</v>
      </c>
      <c r="C1855" t="s">
        <v>1812</v>
      </c>
      <c r="E1855" t="s">
        <v>8478</v>
      </c>
      <c r="F1855">
        <v>4912</v>
      </c>
      <c r="G1855" t="s">
        <v>64</v>
      </c>
      <c r="H1855" t="s">
        <v>16</v>
      </c>
      <c r="I1855" t="s">
        <v>1835</v>
      </c>
      <c r="J1855" t="s">
        <v>1836</v>
      </c>
      <c r="K1855" t="s">
        <v>1809</v>
      </c>
      <c r="L1855" t="str">
        <f>HYPERLINK("https://business-monitor.ch/de/companies/1077563-screinigung-ch-sajn?utm_source=oberaargau","PROFIL ANSEHEN")</f>
        <v>PROFIL ANSEHEN</v>
      </c>
    </row>
    <row r="1856" spans="1:12" x14ac:dyDescent="0.2">
      <c r="A1856" t="s">
        <v>3748</v>
      </c>
      <c r="B1856" t="s">
        <v>3749</v>
      </c>
      <c r="C1856" t="s">
        <v>13</v>
      </c>
      <c r="E1856" t="s">
        <v>3750</v>
      </c>
      <c r="F1856">
        <v>3363</v>
      </c>
      <c r="G1856" t="s">
        <v>1367</v>
      </c>
      <c r="H1856" t="s">
        <v>16</v>
      </c>
      <c r="I1856" t="s">
        <v>186</v>
      </c>
      <c r="J1856" t="s">
        <v>187</v>
      </c>
      <c r="K1856" t="s">
        <v>1809</v>
      </c>
      <c r="L1856" t="str">
        <f>HYPERLINK("https://business-monitor.ch/de/companies/95228-amcos-ag-oberoenz?utm_source=oberaargau","PROFIL ANSEHEN")</f>
        <v>PROFIL ANSEHEN</v>
      </c>
    </row>
    <row r="1857" spans="1:12" x14ac:dyDescent="0.2">
      <c r="A1857" t="s">
        <v>9926</v>
      </c>
      <c r="B1857" t="s">
        <v>9927</v>
      </c>
      <c r="C1857" t="s">
        <v>202</v>
      </c>
      <c r="E1857" t="s">
        <v>2693</v>
      </c>
      <c r="F1857">
        <v>4900</v>
      </c>
      <c r="G1857" t="s">
        <v>41</v>
      </c>
      <c r="H1857" t="s">
        <v>16</v>
      </c>
      <c r="I1857" t="s">
        <v>12563</v>
      </c>
      <c r="J1857" t="s">
        <v>12564</v>
      </c>
      <c r="K1857" t="s">
        <v>1809</v>
      </c>
      <c r="L1857" t="str">
        <f>HYPERLINK("https://business-monitor.ch/de/companies/956518-personalfischer-gmbh?utm_source=oberaargau","PROFIL ANSEHEN")</f>
        <v>PROFIL ANSEHEN</v>
      </c>
    </row>
    <row r="1858" spans="1:12" x14ac:dyDescent="0.2">
      <c r="A1858" t="s">
        <v>10988</v>
      </c>
      <c r="B1858" t="s">
        <v>10989</v>
      </c>
      <c r="C1858" t="s">
        <v>1812</v>
      </c>
      <c r="E1858" t="s">
        <v>11745</v>
      </c>
      <c r="F1858">
        <v>4933</v>
      </c>
      <c r="G1858" t="s">
        <v>3812</v>
      </c>
      <c r="H1858" t="s">
        <v>16</v>
      </c>
      <c r="I1858" t="s">
        <v>5176</v>
      </c>
      <c r="J1858" t="s">
        <v>5177</v>
      </c>
      <c r="K1858" t="s">
        <v>1809</v>
      </c>
      <c r="L1858" t="str">
        <f>HYPERLINK("https://business-monitor.ch/de/companies/1115057-david-mueller-garten-und-umgebung?utm_source=oberaargau","PROFIL ANSEHEN")</f>
        <v>PROFIL ANSEHEN</v>
      </c>
    </row>
    <row r="1859" spans="1:12" x14ac:dyDescent="0.2">
      <c r="A1859" t="s">
        <v>5356</v>
      </c>
      <c r="B1859" t="s">
        <v>5357</v>
      </c>
      <c r="C1859" t="s">
        <v>1812</v>
      </c>
      <c r="E1859" t="s">
        <v>4297</v>
      </c>
      <c r="F1859">
        <v>4900</v>
      </c>
      <c r="G1859" t="s">
        <v>41</v>
      </c>
      <c r="H1859" t="s">
        <v>16</v>
      </c>
      <c r="I1859" t="s">
        <v>2045</v>
      </c>
      <c r="J1859" t="s">
        <v>2046</v>
      </c>
      <c r="K1859" t="s">
        <v>1809</v>
      </c>
      <c r="L1859" t="str">
        <f>HYPERLINK("https://business-monitor.ch/de/companies/151648-schmuck-laube-christian-stiep?utm_source=oberaargau","PROFIL ANSEHEN")</f>
        <v>PROFIL ANSEHEN</v>
      </c>
    </row>
    <row r="1860" spans="1:12" x14ac:dyDescent="0.2">
      <c r="A1860" t="s">
        <v>3429</v>
      </c>
      <c r="B1860" t="s">
        <v>9131</v>
      </c>
      <c r="C1860" t="s">
        <v>1812</v>
      </c>
      <c r="E1860" t="s">
        <v>9132</v>
      </c>
      <c r="F1860">
        <v>4938</v>
      </c>
      <c r="G1860" t="s">
        <v>618</v>
      </c>
      <c r="H1860" t="s">
        <v>16</v>
      </c>
      <c r="I1860" t="s">
        <v>2440</v>
      </c>
      <c r="J1860" t="s">
        <v>2441</v>
      </c>
      <c r="K1860" t="s">
        <v>1809</v>
      </c>
      <c r="L1860" t="str">
        <f>HYPERLINK("https://business-monitor.ch/de/companies/171650-fussleistenmontage-bill?utm_source=oberaargau","PROFIL ANSEHEN")</f>
        <v>PROFIL ANSEHEN</v>
      </c>
    </row>
    <row r="1861" spans="1:12" x14ac:dyDescent="0.2">
      <c r="A1861" t="s">
        <v>11553</v>
      </c>
      <c r="B1861" t="s">
        <v>11554</v>
      </c>
      <c r="C1861" t="s">
        <v>1812</v>
      </c>
      <c r="E1861" t="s">
        <v>2382</v>
      </c>
      <c r="F1861">
        <v>4912</v>
      </c>
      <c r="G1861" t="s">
        <v>64</v>
      </c>
      <c r="H1861" t="s">
        <v>16</v>
      </c>
      <c r="I1861" t="s">
        <v>1097</v>
      </c>
      <c r="J1861" t="s">
        <v>1098</v>
      </c>
      <c r="K1861" t="s">
        <v>1809</v>
      </c>
      <c r="L1861" t="str">
        <f>HYPERLINK("https://business-monitor.ch/de/companies/399353-cascana-miguel-ruepp?utm_source=oberaargau","PROFIL ANSEHEN")</f>
        <v>PROFIL ANSEHEN</v>
      </c>
    </row>
    <row r="1862" spans="1:12" x14ac:dyDescent="0.2">
      <c r="A1862" t="s">
        <v>11137</v>
      </c>
      <c r="B1862" t="s">
        <v>11138</v>
      </c>
      <c r="C1862" t="s">
        <v>202</v>
      </c>
      <c r="E1862" t="s">
        <v>10962</v>
      </c>
      <c r="F1862">
        <v>4912</v>
      </c>
      <c r="G1862" t="s">
        <v>64</v>
      </c>
      <c r="H1862" t="s">
        <v>16</v>
      </c>
      <c r="I1862" t="s">
        <v>1936</v>
      </c>
      <c r="J1862" t="s">
        <v>1937</v>
      </c>
      <c r="K1862" t="s">
        <v>1809</v>
      </c>
      <c r="L1862" t="str">
        <f>HYPERLINK("https://business-monitor.ch/de/companies/1117453-jwr-consulting-gmbh?utm_source=oberaargau","PROFIL ANSEHEN")</f>
        <v>PROFIL ANSEHEN</v>
      </c>
    </row>
    <row r="1863" spans="1:12" x14ac:dyDescent="0.2">
      <c r="A1863" t="s">
        <v>6590</v>
      </c>
      <c r="B1863" t="s">
        <v>6591</v>
      </c>
      <c r="C1863" t="s">
        <v>13</v>
      </c>
      <c r="E1863" t="s">
        <v>14479</v>
      </c>
      <c r="F1863">
        <v>3374</v>
      </c>
      <c r="G1863" t="s">
        <v>894</v>
      </c>
      <c r="H1863" t="s">
        <v>16</v>
      </c>
      <c r="I1863" t="s">
        <v>824</v>
      </c>
      <c r="J1863" t="s">
        <v>825</v>
      </c>
      <c r="K1863" t="s">
        <v>1809</v>
      </c>
      <c r="L1863" t="str">
        <f>HYPERLINK("https://business-monitor.ch/de/companies/208423-gasthof-leuenberger-ag-wangenried?utm_source=oberaargau","PROFIL ANSEHEN")</f>
        <v>PROFIL ANSEHEN</v>
      </c>
    </row>
    <row r="1864" spans="1:12" x14ac:dyDescent="0.2">
      <c r="A1864" t="s">
        <v>12864</v>
      </c>
      <c r="B1864" t="s">
        <v>12865</v>
      </c>
      <c r="C1864" t="s">
        <v>13</v>
      </c>
      <c r="D1864" t="s">
        <v>12866</v>
      </c>
      <c r="E1864" t="s">
        <v>12867</v>
      </c>
      <c r="F1864">
        <v>4536</v>
      </c>
      <c r="G1864" t="s">
        <v>1395</v>
      </c>
      <c r="H1864" t="s">
        <v>16</v>
      </c>
      <c r="I1864" t="s">
        <v>935</v>
      </c>
      <c r="J1864" t="s">
        <v>936</v>
      </c>
      <c r="K1864" t="s">
        <v>1809</v>
      </c>
      <c r="L1864" t="str">
        <f>HYPERLINK("https://business-monitor.ch/de/companies/1227966-immo-tschan-ag?utm_source=oberaargau","PROFIL ANSEHEN")</f>
        <v>PROFIL ANSEHEN</v>
      </c>
    </row>
    <row r="1865" spans="1:12" x14ac:dyDescent="0.2">
      <c r="A1865" t="s">
        <v>8333</v>
      </c>
      <c r="B1865" t="s">
        <v>8334</v>
      </c>
      <c r="C1865" t="s">
        <v>1812</v>
      </c>
      <c r="E1865" t="s">
        <v>14027</v>
      </c>
      <c r="F1865">
        <v>4900</v>
      </c>
      <c r="G1865" t="s">
        <v>41</v>
      </c>
      <c r="H1865" t="s">
        <v>16</v>
      </c>
      <c r="I1865" t="s">
        <v>596</v>
      </c>
      <c r="J1865" t="s">
        <v>597</v>
      </c>
      <c r="K1865" t="s">
        <v>1809</v>
      </c>
      <c r="L1865" t="str">
        <f>HYPERLINK("https://business-monitor.ch/de/companies/285452-gregor-schoenau-weinhandel?utm_source=oberaargau","PROFIL ANSEHEN")</f>
        <v>PROFIL ANSEHEN</v>
      </c>
    </row>
    <row r="1866" spans="1:12" x14ac:dyDescent="0.2">
      <c r="A1866" t="s">
        <v>11706</v>
      </c>
      <c r="B1866" t="s">
        <v>11707</v>
      </c>
      <c r="C1866" t="s">
        <v>1812</v>
      </c>
      <c r="E1866" t="s">
        <v>771</v>
      </c>
      <c r="F1866">
        <v>4538</v>
      </c>
      <c r="G1866" t="s">
        <v>71</v>
      </c>
      <c r="H1866" t="s">
        <v>16</v>
      </c>
      <c r="I1866" t="s">
        <v>438</v>
      </c>
      <c r="J1866" t="s">
        <v>439</v>
      </c>
      <c r="K1866" t="s">
        <v>1809</v>
      </c>
      <c r="L1866" t="str">
        <f>HYPERLINK("https://business-monitor.ch/de/companies/1157344-tibor-jakab?utm_source=oberaargau","PROFIL ANSEHEN")</f>
        <v>PROFIL ANSEHEN</v>
      </c>
    </row>
    <row r="1867" spans="1:12" x14ac:dyDescent="0.2">
      <c r="A1867" t="s">
        <v>13612</v>
      </c>
      <c r="B1867" t="s">
        <v>13613</v>
      </c>
      <c r="C1867" t="s">
        <v>202</v>
      </c>
      <c r="D1867" t="s">
        <v>13614</v>
      </c>
      <c r="E1867" t="s">
        <v>13615</v>
      </c>
      <c r="F1867">
        <v>4900</v>
      </c>
      <c r="G1867" t="s">
        <v>41</v>
      </c>
      <c r="H1867" t="s">
        <v>16</v>
      </c>
      <c r="I1867" t="s">
        <v>2397</v>
      </c>
      <c r="J1867" t="s">
        <v>2398</v>
      </c>
      <c r="K1867" t="s">
        <v>1809</v>
      </c>
      <c r="L1867" t="str">
        <f>HYPERLINK("https://business-monitor.ch/de/companies/486215-gommis-gmbh?utm_source=oberaargau","PROFIL ANSEHEN")</f>
        <v>PROFIL ANSEHEN</v>
      </c>
    </row>
    <row r="1868" spans="1:12" x14ac:dyDescent="0.2">
      <c r="A1868" t="s">
        <v>4359</v>
      </c>
      <c r="B1868" t="s">
        <v>4360</v>
      </c>
      <c r="C1868" t="s">
        <v>1812</v>
      </c>
      <c r="E1868" t="s">
        <v>4361</v>
      </c>
      <c r="F1868">
        <v>3360</v>
      </c>
      <c r="G1868" t="s">
        <v>35</v>
      </c>
      <c r="H1868" t="s">
        <v>16</v>
      </c>
      <c r="I1868" t="s">
        <v>2549</v>
      </c>
      <c r="J1868" t="s">
        <v>2550</v>
      </c>
      <c r="K1868" t="s">
        <v>1809</v>
      </c>
      <c r="L1868" t="str">
        <f>HYPERLINK("https://business-monitor.ch/de/companies/955214-buchsitaxi-gerhard-haehlen?utm_source=oberaargau","PROFIL ANSEHEN")</f>
        <v>PROFIL ANSEHEN</v>
      </c>
    </row>
    <row r="1869" spans="1:12" x14ac:dyDescent="0.2">
      <c r="A1869" t="s">
        <v>11225</v>
      </c>
      <c r="B1869" t="s">
        <v>11226</v>
      </c>
      <c r="C1869" t="s">
        <v>202</v>
      </c>
      <c r="E1869" t="s">
        <v>1484</v>
      </c>
      <c r="F1869">
        <v>4900</v>
      </c>
      <c r="G1869" t="s">
        <v>41</v>
      </c>
      <c r="H1869" t="s">
        <v>16</v>
      </c>
      <c r="I1869" t="s">
        <v>4940</v>
      </c>
      <c r="J1869" t="s">
        <v>4941</v>
      </c>
      <c r="K1869" t="s">
        <v>1809</v>
      </c>
      <c r="L1869" t="str">
        <f>HYPERLINK("https://business-monitor.ch/de/companies/1125323-praxis-dr-zwanzger-gmbh?utm_source=oberaargau","PROFIL ANSEHEN")</f>
        <v>PROFIL ANSEHEN</v>
      </c>
    </row>
    <row r="1870" spans="1:12" x14ac:dyDescent="0.2">
      <c r="A1870" t="s">
        <v>14285</v>
      </c>
      <c r="B1870" t="s">
        <v>14286</v>
      </c>
      <c r="C1870" t="s">
        <v>1812</v>
      </c>
      <c r="E1870" t="s">
        <v>14287</v>
      </c>
      <c r="F1870">
        <v>4917</v>
      </c>
      <c r="G1870" t="s">
        <v>376</v>
      </c>
      <c r="H1870" t="s">
        <v>16</v>
      </c>
      <c r="I1870" t="s">
        <v>464</v>
      </c>
      <c r="J1870" t="s">
        <v>465</v>
      </c>
      <c r="K1870" t="s">
        <v>1809</v>
      </c>
      <c r="L1870" t="str">
        <f>HYPERLINK("https://business-monitor.ch/de/companies/1290316-mservices-marcin-siedler?utm_source=oberaargau","PROFIL ANSEHEN")</f>
        <v>PROFIL ANSEHEN</v>
      </c>
    </row>
    <row r="1871" spans="1:12" x14ac:dyDescent="0.2">
      <c r="A1871" t="s">
        <v>14124</v>
      </c>
      <c r="B1871" t="s">
        <v>14125</v>
      </c>
      <c r="C1871" t="s">
        <v>1812</v>
      </c>
      <c r="E1871" t="s">
        <v>14126</v>
      </c>
      <c r="F1871">
        <v>3375</v>
      </c>
      <c r="G1871" t="s">
        <v>667</v>
      </c>
      <c r="H1871" t="s">
        <v>16</v>
      </c>
      <c r="I1871" t="s">
        <v>2939</v>
      </c>
      <c r="J1871" t="s">
        <v>2940</v>
      </c>
      <c r="K1871" t="s">
        <v>1809</v>
      </c>
      <c r="L1871" t="str">
        <f>HYPERLINK("https://business-monitor.ch/de/companies/1292075-paedi-staubitzer-workshop?utm_source=oberaargau","PROFIL ANSEHEN")</f>
        <v>PROFIL ANSEHEN</v>
      </c>
    </row>
    <row r="1872" spans="1:12" x14ac:dyDescent="0.2">
      <c r="A1872" t="s">
        <v>12008</v>
      </c>
      <c r="B1872" t="s">
        <v>12009</v>
      </c>
      <c r="C1872" t="s">
        <v>2178</v>
      </c>
      <c r="E1872" t="s">
        <v>9642</v>
      </c>
      <c r="F1872">
        <v>4900</v>
      </c>
      <c r="G1872" t="s">
        <v>41</v>
      </c>
      <c r="H1872" t="s">
        <v>16</v>
      </c>
      <c r="I1872" t="s">
        <v>12010</v>
      </c>
      <c r="J1872" t="s">
        <v>12011</v>
      </c>
      <c r="K1872" t="s">
        <v>1809</v>
      </c>
      <c r="L1872" t="str">
        <f>HYPERLINK("https://business-monitor.ch/de/companies/1178335-phonezone-ag?utm_source=oberaargau","PROFIL ANSEHEN")</f>
        <v>PROFIL ANSEHEN</v>
      </c>
    </row>
    <row r="1873" spans="1:12" x14ac:dyDescent="0.2">
      <c r="A1873" t="s">
        <v>8630</v>
      </c>
      <c r="B1873" t="s">
        <v>8631</v>
      </c>
      <c r="C1873" t="s">
        <v>1812</v>
      </c>
      <c r="E1873" t="s">
        <v>8632</v>
      </c>
      <c r="F1873">
        <v>4950</v>
      </c>
      <c r="G1873" t="s">
        <v>15</v>
      </c>
      <c r="H1873" t="s">
        <v>16</v>
      </c>
      <c r="I1873" t="s">
        <v>854</v>
      </c>
      <c r="J1873" t="s">
        <v>855</v>
      </c>
      <c r="K1873" t="s">
        <v>1809</v>
      </c>
      <c r="L1873" t="str">
        <f>HYPERLINK("https://business-monitor.ch/de/companies/442152-inet-industries-mihajlovic?utm_source=oberaargau","PROFIL ANSEHEN")</f>
        <v>PROFIL ANSEHEN</v>
      </c>
    </row>
    <row r="1874" spans="1:12" x14ac:dyDescent="0.2">
      <c r="A1874" t="s">
        <v>13855</v>
      </c>
      <c r="B1874" t="s">
        <v>13856</v>
      </c>
      <c r="C1874" t="s">
        <v>202</v>
      </c>
      <c r="E1874" t="s">
        <v>13857</v>
      </c>
      <c r="F1874">
        <v>4953</v>
      </c>
      <c r="G1874" t="s">
        <v>416</v>
      </c>
      <c r="H1874" t="s">
        <v>16</v>
      </c>
      <c r="I1874" t="s">
        <v>48</v>
      </c>
      <c r="J1874" t="s">
        <v>49</v>
      </c>
      <c r="K1874" t="s">
        <v>1809</v>
      </c>
      <c r="L1874" t="str">
        <f>HYPERLINK("https://business-monitor.ch/de/companies/1270943-sonnentrockner-gmbh?utm_source=oberaargau","PROFIL ANSEHEN")</f>
        <v>PROFIL ANSEHEN</v>
      </c>
    </row>
    <row r="1875" spans="1:12" x14ac:dyDescent="0.2">
      <c r="A1875" t="s">
        <v>3206</v>
      </c>
      <c r="B1875" t="s">
        <v>3207</v>
      </c>
      <c r="C1875" t="s">
        <v>2258</v>
      </c>
      <c r="E1875" t="s">
        <v>559</v>
      </c>
      <c r="F1875">
        <v>4900</v>
      </c>
      <c r="G1875" t="s">
        <v>41</v>
      </c>
      <c r="H1875" t="s">
        <v>16</v>
      </c>
      <c r="I1875" t="s">
        <v>1924</v>
      </c>
      <c r="J1875" t="s">
        <v>1925</v>
      </c>
      <c r="K1875" t="s">
        <v>1809</v>
      </c>
      <c r="L1875" t="str">
        <f>HYPERLINK("https://business-monitor.ch/de/companies/279741-verband-schweizerischer-kartoffelhandelsfirmen?utm_source=oberaargau","PROFIL ANSEHEN")</f>
        <v>PROFIL ANSEHEN</v>
      </c>
    </row>
    <row r="1876" spans="1:12" x14ac:dyDescent="0.2">
      <c r="A1876" t="s">
        <v>8305</v>
      </c>
      <c r="B1876" t="s">
        <v>8306</v>
      </c>
      <c r="C1876" t="s">
        <v>1812</v>
      </c>
      <c r="E1876" t="s">
        <v>12442</v>
      </c>
      <c r="F1876">
        <v>3360</v>
      </c>
      <c r="G1876" t="s">
        <v>35</v>
      </c>
      <c r="H1876" t="s">
        <v>16</v>
      </c>
      <c r="I1876" t="s">
        <v>24</v>
      </c>
      <c r="J1876" t="s">
        <v>25</v>
      </c>
      <c r="K1876" t="s">
        <v>1809</v>
      </c>
      <c r="L1876" t="str">
        <f>HYPERLINK("https://business-monitor.ch/de/companies/452488-almunec-ingold?utm_source=oberaargau","PROFIL ANSEHEN")</f>
        <v>PROFIL ANSEHEN</v>
      </c>
    </row>
    <row r="1877" spans="1:12" x14ac:dyDescent="0.2">
      <c r="A1877" t="s">
        <v>2741</v>
      </c>
      <c r="B1877" t="s">
        <v>2742</v>
      </c>
      <c r="C1877" t="s">
        <v>1812</v>
      </c>
      <c r="E1877" t="s">
        <v>2743</v>
      </c>
      <c r="F1877">
        <v>4913</v>
      </c>
      <c r="G1877" t="s">
        <v>207</v>
      </c>
      <c r="H1877" t="s">
        <v>16</v>
      </c>
      <c r="I1877" t="s">
        <v>551</v>
      </c>
      <c r="J1877" t="s">
        <v>552</v>
      </c>
      <c r="K1877" t="s">
        <v>1809</v>
      </c>
      <c r="L1877" t="str">
        <f>HYPERLINK("https://business-monitor.ch/de/companies/452963-r-j-stirnimann-techbusiness-techin-formation?utm_source=oberaargau","PROFIL ANSEHEN")</f>
        <v>PROFIL ANSEHEN</v>
      </c>
    </row>
    <row r="1878" spans="1:12" x14ac:dyDescent="0.2">
      <c r="A1878" t="s">
        <v>14033</v>
      </c>
      <c r="B1878" t="s">
        <v>14034</v>
      </c>
      <c r="C1878" t="s">
        <v>202</v>
      </c>
      <c r="E1878" t="s">
        <v>14035</v>
      </c>
      <c r="F1878">
        <v>4537</v>
      </c>
      <c r="G1878" t="s">
        <v>113</v>
      </c>
      <c r="H1878" t="s">
        <v>16</v>
      </c>
      <c r="I1878" t="s">
        <v>119</v>
      </c>
      <c r="J1878" t="s">
        <v>120</v>
      </c>
      <c r="K1878" t="s">
        <v>1809</v>
      </c>
      <c r="L1878" t="str">
        <f>HYPERLINK("https://business-monitor.ch/de/companies/1279386-gij-gmbh?utm_source=oberaargau","PROFIL ANSEHEN")</f>
        <v>PROFIL ANSEHEN</v>
      </c>
    </row>
    <row r="1879" spans="1:12" x14ac:dyDescent="0.2">
      <c r="A1879" t="s">
        <v>4285</v>
      </c>
      <c r="B1879" t="s">
        <v>4286</v>
      </c>
      <c r="C1879" t="s">
        <v>1812</v>
      </c>
      <c r="E1879" t="s">
        <v>11169</v>
      </c>
      <c r="F1879">
        <v>4938</v>
      </c>
      <c r="G1879" t="s">
        <v>618</v>
      </c>
      <c r="H1879" t="s">
        <v>16</v>
      </c>
      <c r="I1879" t="s">
        <v>551</v>
      </c>
      <c r="J1879" t="s">
        <v>552</v>
      </c>
      <c r="K1879" t="s">
        <v>1809</v>
      </c>
      <c r="L1879" t="str">
        <f>HYPERLINK("https://business-monitor.ch/de/companies/977506-kaufmann-family-business-coaching?utm_source=oberaargau","PROFIL ANSEHEN")</f>
        <v>PROFIL ANSEHEN</v>
      </c>
    </row>
    <row r="1880" spans="1:12" x14ac:dyDescent="0.2">
      <c r="A1880" t="s">
        <v>13068</v>
      </c>
      <c r="B1880" t="s">
        <v>13069</v>
      </c>
      <c r="C1880" t="s">
        <v>13</v>
      </c>
      <c r="E1880" t="s">
        <v>13070</v>
      </c>
      <c r="F1880">
        <v>4538</v>
      </c>
      <c r="G1880" t="s">
        <v>71</v>
      </c>
      <c r="H1880" t="s">
        <v>16</v>
      </c>
      <c r="I1880" t="s">
        <v>1865</v>
      </c>
      <c r="J1880" t="s">
        <v>1866</v>
      </c>
      <c r="K1880" t="s">
        <v>1809</v>
      </c>
      <c r="L1880" t="str">
        <f>HYPERLINK("https://business-monitor.ch/de/companies/1140117-swiss4lux-ag?utm_source=oberaargau","PROFIL ANSEHEN")</f>
        <v>PROFIL ANSEHEN</v>
      </c>
    </row>
    <row r="1881" spans="1:12" x14ac:dyDescent="0.2">
      <c r="A1881" t="s">
        <v>1894</v>
      </c>
      <c r="B1881" t="s">
        <v>1895</v>
      </c>
      <c r="C1881" t="s">
        <v>1827</v>
      </c>
      <c r="E1881" t="s">
        <v>1896</v>
      </c>
      <c r="F1881">
        <v>4938</v>
      </c>
      <c r="G1881" t="s">
        <v>618</v>
      </c>
      <c r="H1881" t="s">
        <v>16</v>
      </c>
      <c r="I1881" t="s">
        <v>1097</v>
      </c>
      <c r="J1881" t="s">
        <v>1098</v>
      </c>
      <c r="K1881" t="s">
        <v>1809</v>
      </c>
      <c r="L1881" t="str">
        <f>HYPERLINK("https://business-monitor.ch/de/companies/369148-luethi-und-hurni?utm_source=oberaargau","PROFIL ANSEHEN")</f>
        <v>PROFIL ANSEHEN</v>
      </c>
    </row>
    <row r="1882" spans="1:12" x14ac:dyDescent="0.2">
      <c r="A1882" t="s">
        <v>12232</v>
      </c>
      <c r="B1882" t="s">
        <v>5336</v>
      </c>
      <c r="C1882" t="s">
        <v>2178</v>
      </c>
      <c r="E1882" t="s">
        <v>1047</v>
      </c>
      <c r="F1882">
        <v>3360</v>
      </c>
      <c r="G1882" t="s">
        <v>35</v>
      </c>
      <c r="H1882" t="s">
        <v>16</v>
      </c>
      <c r="I1882" t="s">
        <v>167</v>
      </c>
      <c r="J1882" t="s">
        <v>168</v>
      </c>
      <c r="K1882" t="s">
        <v>1809</v>
      </c>
      <c r="L1882" t="str">
        <f>HYPERLINK("https://business-monitor.ch/de/companies/1178716-sutter-bauunternehmung-ag?utm_source=oberaargau","PROFIL ANSEHEN")</f>
        <v>PROFIL ANSEHEN</v>
      </c>
    </row>
    <row r="1883" spans="1:12" x14ac:dyDescent="0.2">
      <c r="A1883" t="s">
        <v>8490</v>
      </c>
      <c r="B1883" t="s">
        <v>8491</v>
      </c>
      <c r="C1883" t="s">
        <v>1812</v>
      </c>
      <c r="E1883" t="s">
        <v>1969</v>
      </c>
      <c r="F1883">
        <v>4900</v>
      </c>
      <c r="G1883" t="s">
        <v>41</v>
      </c>
      <c r="H1883" t="s">
        <v>16</v>
      </c>
      <c r="I1883" t="s">
        <v>1970</v>
      </c>
      <c r="J1883" t="s">
        <v>1971</v>
      </c>
      <c r="K1883" t="s">
        <v>1809</v>
      </c>
      <c r="L1883" t="str">
        <f>HYPERLINK("https://business-monitor.ch/de/companies/512647-mavris-spyridon-dynamic?utm_source=oberaargau","PROFIL ANSEHEN")</f>
        <v>PROFIL ANSEHEN</v>
      </c>
    </row>
    <row r="1884" spans="1:12" x14ac:dyDescent="0.2">
      <c r="A1884" t="s">
        <v>14199</v>
      </c>
      <c r="B1884" t="s">
        <v>14200</v>
      </c>
      <c r="C1884" t="s">
        <v>1827</v>
      </c>
      <c r="D1884" t="s">
        <v>14201</v>
      </c>
      <c r="E1884" t="s">
        <v>14202</v>
      </c>
      <c r="F1884">
        <v>4900</v>
      </c>
      <c r="G1884" t="s">
        <v>41</v>
      </c>
      <c r="H1884" t="s">
        <v>16</v>
      </c>
      <c r="I1884" t="s">
        <v>2622</v>
      </c>
      <c r="J1884" t="s">
        <v>2623</v>
      </c>
      <c r="K1884" t="s">
        <v>1809</v>
      </c>
      <c r="L1884" t="str">
        <f>HYPERLINK("https://business-monitor.ch/de/companies/1288727-swiss-customs-tuning-klg?utm_source=oberaargau","PROFIL ANSEHEN")</f>
        <v>PROFIL ANSEHEN</v>
      </c>
    </row>
    <row r="1885" spans="1:12" x14ac:dyDescent="0.2">
      <c r="A1885" t="s">
        <v>11539</v>
      </c>
      <c r="B1885" t="s">
        <v>11540</v>
      </c>
      <c r="C1885" t="s">
        <v>202</v>
      </c>
      <c r="E1885" t="s">
        <v>11541</v>
      </c>
      <c r="F1885">
        <v>4950</v>
      </c>
      <c r="G1885" t="s">
        <v>15</v>
      </c>
      <c r="H1885" t="s">
        <v>16</v>
      </c>
      <c r="I1885" t="s">
        <v>551</v>
      </c>
      <c r="J1885" t="s">
        <v>552</v>
      </c>
      <c r="K1885" t="s">
        <v>1809</v>
      </c>
      <c r="L1885" t="str">
        <f>HYPERLINK("https://business-monitor.ch/de/companies/1146629-crocus-gmbh?utm_source=oberaargau","PROFIL ANSEHEN")</f>
        <v>PROFIL ANSEHEN</v>
      </c>
    </row>
    <row r="1886" spans="1:12" x14ac:dyDescent="0.2">
      <c r="A1886" t="s">
        <v>4543</v>
      </c>
      <c r="B1886" t="s">
        <v>4544</v>
      </c>
      <c r="C1886" t="s">
        <v>1812</v>
      </c>
      <c r="E1886" t="s">
        <v>4545</v>
      </c>
      <c r="F1886">
        <v>4912</v>
      </c>
      <c r="G1886" t="s">
        <v>64</v>
      </c>
      <c r="H1886" t="s">
        <v>16</v>
      </c>
      <c r="I1886" t="s">
        <v>2365</v>
      </c>
      <c r="J1886" t="s">
        <v>2366</v>
      </c>
      <c r="K1886" t="s">
        <v>1809</v>
      </c>
      <c r="L1886" t="str">
        <f>HYPERLINK("https://business-monitor.ch/de/companies/667816-eggerhof-digital-inhaber-egger?utm_source=oberaargau","PROFIL ANSEHEN")</f>
        <v>PROFIL ANSEHEN</v>
      </c>
    </row>
    <row r="1887" spans="1:12" x14ac:dyDescent="0.2">
      <c r="A1887" t="s">
        <v>2519</v>
      </c>
      <c r="B1887" t="s">
        <v>2520</v>
      </c>
      <c r="C1887" t="s">
        <v>13</v>
      </c>
      <c r="E1887" t="s">
        <v>2521</v>
      </c>
      <c r="F1887">
        <v>4537</v>
      </c>
      <c r="G1887" t="s">
        <v>113</v>
      </c>
      <c r="H1887" t="s">
        <v>16</v>
      </c>
      <c r="I1887" t="s">
        <v>2522</v>
      </c>
      <c r="J1887" t="s">
        <v>2523</v>
      </c>
      <c r="K1887" t="s">
        <v>1809</v>
      </c>
      <c r="L1887" t="str">
        <f>HYPERLINK("https://business-monitor.ch/de/companies/457644-jfk-horse-world-ag?utm_source=oberaargau","PROFIL ANSEHEN")</f>
        <v>PROFIL ANSEHEN</v>
      </c>
    </row>
    <row r="1888" spans="1:12" x14ac:dyDescent="0.2">
      <c r="A1888" t="s">
        <v>5490</v>
      </c>
      <c r="B1888" t="s">
        <v>5491</v>
      </c>
      <c r="C1888" t="s">
        <v>1812</v>
      </c>
      <c r="E1888" t="s">
        <v>5492</v>
      </c>
      <c r="F1888">
        <v>3375</v>
      </c>
      <c r="G1888" t="s">
        <v>667</v>
      </c>
      <c r="H1888" t="s">
        <v>16</v>
      </c>
      <c r="I1888" t="s">
        <v>475</v>
      </c>
      <c r="J1888" t="s">
        <v>476</v>
      </c>
      <c r="K1888" t="s">
        <v>1809</v>
      </c>
      <c r="L1888" t="str">
        <f>HYPERLINK("https://business-monitor.ch/de/companies/153589-klaus-meier?utm_source=oberaargau","PROFIL ANSEHEN")</f>
        <v>PROFIL ANSEHEN</v>
      </c>
    </row>
    <row r="1889" spans="1:12" x14ac:dyDescent="0.2">
      <c r="A1889" t="s">
        <v>10360</v>
      </c>
      <c r="B1889" t="s">
        <v>10361</v>
      </c>
      <c r="C1889" t="s">
        <v>1812</v>
      </c>
      <c r="E1889" t="s">
        <v>10362</v>
      </c>
      <c r="F1889">
        <v>4539</v>
      </c>
      <c r="G1889" t="s">
        <v>1134</v>
      </c>
      <c r="H1889" t="s">
        <v>16</v>
      </c>
      <c r="I1889" t="s">
        <v>1401</v>
      </c>
      <c r="J1889" t="s">
        <v>1402</v>
      </c>
      <c r="K1889" t="s">
        <v>1809</v>
      </c>
      <c r="L1889" t="str">
        <f>HYPERLINK("https://business-monitor.ch/de/companies/534454-autres-fleurs-sarah-mueller-waibel-blumenwerkstatt?utm_source=oberaargau","PROFIL ANSEHEN")</f>
        <v>PROFIL ANSEHEN</v>
      </c>
    </row>
    <row r="1890" spans="1:12" x14ac:dyDescent="0.2">
      <c r="A1890" t="s">
        <v>12855</v>
      </c>
      <c r="B1890" t="s">
        <v>12856</v>
      </c>
      <c r="C1890" t="s">
        <v>202</v>
      </c>
      <c r="E1890" t="s">
        <v>11598</v>
      </c>
      <c r="F1890">
        <v>4900</v>
      </c>
      <c r="G1890" t="s">
        <v>41</v>
      </c>
      <c r="H1890" t="s">
        <v>16</v>
      </c>
      <c r="I1890" t="s">
        <v>642</v>
      </c>
      <c r="J1890" t="s">
        <v>643</v>
      </c>
      <c r="K1890" t="s">
        <v>1809</v>
      </c>
      <c r="L1890" t="str">
        <f>HYPERLINK("https://business-monitor.ch/de/companies/1226813-b-g-autohandel-gmbh?utm_source=oberaargau","PROFIL ANSEHEN")</f>
        <v>PROFIL ANSEHEN</v>
      </c>
    </row>
    <row r="1891" spans="1:12" x14ac:dyDescent="0.2">
      <c r="A1891" t="s">
        <v>4851</v>
      </c>
      <c r="B1891" t="s">
        <v>4852</v>
      </c>
      <c r="C1891" t="s">
        <v>1812</v>
      </c>
      <c r="E1891" t="s">
        <v>4853</v>
      </c>
      <c r="F1891">
        <v>3365</v>
      </c>
      <c r="G1891" t="s">
        <v>2390</v>
      </c>
      <c r="H1891" t="s">
        <v>16</v>
      </c>
      <c r="I1891" t="s">
        <v>153</v>
      </c>
      <c r="J1891" t="s">
        <v>154</v>
      </c>
      <c r="K1891" t="s">
        <v>1809</v>
      </c>
      <c r="L1891" t="str">
        <f>HYPERLINK("https://business-monitor.ch/de/companies/534956-dezentral-r-jensen?utm_source=oberaargau","PROFIL ANSEHEN")</f>
        <v>PROFIL ANSEHEN</v>
      </c>
    </row>
    <row r="1892" spans="1:12" x14ac:dyDescent="0.2">
      <c r="A1892" t="s">
        <v>8930</v>
      </c>
      <c r="B1892" t="s">
        <v>8931</v>
      </c>
      <c r="C1892" t="s">
        <v>1812</v>
      </c>
      <c r="E1892" t="s">
        <v>8932</v>
      </c>
      <c r="F1892">
        <v>4900</v>
      </c>
      <c r="G1892" t="s">
        <v>41</v>
      </c>
      <c r="H1892" t="s">
        <v>16</v>
      </c>
      <c r="I1892" t="s">
        <v>464</v>
      </c>
      <c r="J1892" t="s">
        <v>465</v>
      </c>
      <c r="K1892" t="s">
        <v>1809</v>
      </c>
      <c r="L1892" t="str">
        <f>HYPERLINK("https://business-monitor.ch/de/companies/274575-moser-walter?utm_source=oberaargau","PROFIL ANSEHEN")</f>
        <v>PROFIL ANSEHEN</v>
      </c>
    </row>
    <row r="1893" spans="1:12" x14ac:dyDescent="0.2">
      <c r="A1893" t="s">
        <v>7827</v>
      </c>
      <c r="B1893" t="s">
        <v>14480</v>
      </c>
      <c r="C1893" t="s">
        <v>1812</v>
      </c>
      <c r="E1893" t="s">
        <v>7828</v>
      </c>
      <c r="F1893">
        <v>4936</v>
      </c>
      <c r="G1893" t="s">
        <v>768</v>
      </c>
      <c r="H1893" t="s">
        <v>16</v>
      </c>
      <c r="I1893" t="s">
        <v>7829</v>
      </c>
      <c r="J1893" t="s">
        <v>7830</v>
      </c>
      <c r="K1893" t="s">
        <v>1809</v>
      </c>
      <c r="L1893" t="str">
        <f>HYPERLINK("https://business-monitor.ch/de/companies/535927-chaes-fraenzi-beck?utm_source=oberaargau","PROFIL ANSEHEN")</f>
        <v>PROFIL ANSEHEN</v>
      </c>
    </row>
    <row r="1894" spans="1:12" x14ac:dyDescent="0.2">
      <c r="A1894" t="s">
        <v>7381</v>
      </c>
      <c r="B1894" t="s">
        <v>7382</v>
      </c>
      <c r="C1894" t="s">
        <v>202</v>
      </c>
      <c r="E1894" t="s">
        <v>6379</v>
      </c>
      <c r="F1894">
        <v>4900</v>
      </c>
      <c r="G1894" t="s">
        <v>41</v>
      </c>
      <c r="H1894" t="s">
        <v>16</v>
      </c>
      <c r="I1894" t="s">
        <v>824</v>
      </c>
      <c r="J1894" t="s">
        <v>825</v>
      </c>
      <c r="K1894" t="s">
        <v>1809</v>
      </c>
      <c r="L1894" t="str">
        <f>HYPERLINK("https://business-monitor.ch/de/companies/970271-phoenix-bistro-gmbh?utm_source=oberaargau","PROFIL ANSEHEN")</f>
        <v>PROFIL ANSEHEN</v>
      </c>
    </row>
    <row r="1895" spans="1:12" x14ac:dyDescent="0.2">
      <c r="A1895" t="s">
        <v>12055</v>
      </c>
      <c r="B1895" t="s">
        <v>12056</v>
      </c>
      <c r="C1895" t="s">
        <v>202</v>
      </c>
      <c r="D1895" t="s">
        <v>12057</v>
      </c>
      <c r="E1895" t="s">
        <v>11910</v>
      </c>
      <c r="F1895">
        <v>4938</v>
      </c>
      <c r="G1895" t="s">
        <v>618</v>
      </c>
      <c r="H1895" t="s">
        <v>16</v>
      </c>
      <c r="I1895" t="s">
        <v>679</v>
      </c>
      <c r="J1895" t="s">
        <v>680</v>
      </c>
      <c r="K1895" t="s">
        <v>1809</v>
      </c>
      <c r="L1895" t="str">
        <f>HYPERLINK("https://business-monitor.ch/de/companies/1189183-guedel-happyfix-gmbh?utm_source=oberaargau","PROFIL ANSEHEN")</f>
        <v>PROFIL ANSEHEN</v>
      </c>
    </row>
    <row r="1896" spans="1:12" x14ac:dyDescent="0.2">
      <c r="A1896" t="s">
        <v>4839</v>
      </c>
      <c r="B1896" t="s">
        <v>4840</v>
      </c>
      <c r="C1896" t="s">
        <v>202</v>
      </c>
      <c r="E1896" t="s">
        <v>2862</v>
      </c>
      <c r="F1896">
        <v>4900</v>
      </c>
      <c r="G1896" t="s">
        <v>41</v>
      </c>
      <c r="H1896" t="s">
        <v>16</v>
      </c>
      <c r="I1896" t="s">
        <v>2715</v>
      </c>
      <c r="J1896" t="s">
        <v>2716</v>
      </c>
      <c r="K1896" t="s">
        <v>1809</v>
      </c>
      <c r="L1896" t="str">
        <f>HYPERLINK("https://business-monitor.ch/de/companies/543350-ediscount-gmbh?utm_source=oberaargau","PROFIL ANSEHEN")</f>
        <v>PROFIL ANSEHEN</v>
      </c>
    </row>
    <row r="1897" spans="1:12" x14ac:dyDescent="0.2">
      <c r="A1897" t="s">
        <v>14481</v>
      </c>
      <c r="B1897" t="s">
        <v>14482</v>
      </c>
      <c r="C1897" t="s">
        <v>1812</v>
      </c>
      <c r="E1897" t="s">
        <v>14483</v>
      </c>
      <c r="F1897">
        <v>4932</v>
      </c>
      <c r="G1897" t="s">
        <v>325</v>
      </c>
      <c r="H1897" t="s">
        <v>16</v>
      </c>
      <c r="I1897" t="s">
        <v>2440</v>
      </c>
      <c r="J1897" t="s">
        <v>2441</v>
      </c>
      <c r="K1897" t="s">
        <v>1809</v>
      </c>
      <c r="L1897" t="str">
        <f>HYPERLINK("https://business-monitor.ch/de/companies/1297139-universal-iljazi?utm_source=oberaargau","PROFIL ANSEHEN")</f>
        <v>PROFIL ANSEHEN</v>
      </c>
    </row>
    <row r="1898" spans="1:12" x14ac:dyDescent="0.2">
      <c r="A1898" t="s">
        <v>10860</v>
      </c>
      <c r="B1898" t="s">
        <v>10861</v>
      </c>
      <c r="C1898" t="s">
        <v>1812</v>
      </c>
      <c r="E1898" t="s">
        <v>4811</v>
      </c>
      <c r="F1898">
        <v>4900</v>
      </c>
      <c r="G1898" t="s">
        <v>41</v>
      </c>
      <c r="H1898" t="s">
        <v>16</v>
      </c>
      <c r="I1898" t="s">
        <v>2050</v>
      </c>
      <c r="J1898" t="s">
        <v>2051</v>
      </c>
      <c r="K1898" t="s">
        <v>1809</v>
      </c>
      <c r="L1898" t="str">
        <f>HYPERLINK("https://business-monitor.ch/de/companies/1106627-wuhrpolsterei-yasmine-stegemann?utm_source=oberaargau","PROFIL ANSEHEN")</f>
        <v>PROFIL ANSEHEN</v>
      </c>
    </row>
    <row r="1899" spans="1:12" x14ac:dyDescent="0.2">
      <c r="A1899" t="s">
        <v>3516</v>
      </c>
      <c r="B1899" t="s">
        <v>3517</v>
      </c>
      <c r="C1899" t="s">
        <v>1812</v>
      </c>
      <c r="E1899" t="s">
        <v>3518</v>
      </c>
      <c r="F1899">
        <v>4932</v>
      </c>
      <c r="G1899" t="s">
        <v>325</v>
      </c>
      <c r="H1899" t="s">
        <v>16</v>
      </c>
      <c r="I1899" t="s">
        <v>464</v>
      </c>
      <c r="J1899" t="s">
        <v>465</v>
      </c>
      <c r="K1899" t="s">
        <v>1809</v>
      </c>
      <c r="L1899" t="str">
        <f>HYPERLINK("https://business-monitor.ch/de/companies/156508-d-kiener-transporte?utm_source=oberaargau","PROFIL ANSEHEN")</f>
        <v>PROFIL ANSEHEN</v>
      </c>
    </row>
    <row r="1900" spans="1:12" x14ac:dyDescent="0.2">
      <c r="A1900" t="s">
        <v>11834</v>
      </c>
      <c r="B1900" t="s">
        <v>11835</v>
      </c>
      <c r="C1900" t="s">
        <v>2178</v>
      </c>
      <c r="E1900" t="s">
        <v>11836</v>
      </c>
      <c r="F1900">
        <v>4900</v>
      </c>
      <c r="G1900" t="s">
        <v>41</v>
      </c>
      <c r="H1900" t="s">
        <v>16</v>
      </c>
      <c r="I1900" t="s">
        <v>232</v>
      </c>
      <c r="J1900" t="s">
        <v>233</v>
      </c>
      <c r="K1900" t="s">
        <v>1809</v>
      </c>
      <c r="L1900" t="str">
        <f>HYPERLINK("https://business-monitor.ch/de/companies/1164363-rechnungswerk-treuhand-gmbh?utm_source=oberaargau","PROFIL ANSEHEN")</f>
        <v>PROFIL ANSEHEN</v>
      </c>
    </row>
    <row r="1901" spans="1:12" x14ac:dyDescent="0.2">
      <c r="A1901" t="s">
        <v>11897</v>
      </c>
      <c r="B1901" t="s">
        <v>11898</v>
      </c>
      <c r="C1901" t="s">
        <v>1812</v>
      </c>
      <c r="E1901" t="s">
        <v>11899</v>
      </c>
      <c r="F1901">
        <v>3375</v>
      </c>
      <c r="G1901" t="s">
        <v>667</v>
      </c>
      <c r="H1901" t="s">
        <v>16</v>
      </c>
      <c r="I1901" t="s">
        <v>2939</v>
      </c>
      <c r="J1901" t="s">
        <v>2940</v>
      </c>
      <c r="K1901" t="s">
        <v>1809</v>
      </c>
      <c r="L1901" t="str">
        <f>HYPERLINK("https://business-monitor.ch/de/companies/1164337-solexbiene-marco-bongni?utm_source=oberaargau","PROFIL ANSEHEN")</f>
        <v>PROFIL ANSEHEN</v>
      </c>
    </row>
    <row r="1902" spans="1:12" x14ac:dyDescent="0.2">
      <c r="A1902" t="s">
        <v>9676</v>
      </c>
      <c r="B1902" t="s">
        <v>9677</v>
      </c>
      <c r="C1902" t="s">
        <v>1812</v>
      </c>
      <c r="E1902" t="s">
        <v>9678</v>
      </c>
      <c r="F1902">
        <v>3375</v>
      </c>
      <c r="G1902" t="s">
        <v>667</v>
      </c>
      <c r="H1902" t="s">
        <v>16</v>
      </c>
      <c r="I1902" t="s">
        <v>175</v>
      </c>
      <c r="J1902" t="s">
        <v>176</v>
      </c>
      <c r="K1902" t="s">
        <v>1809</v>
      </c>
      <c r="L1902" t="str">
        <f>HYPERLINK("https://business-monitor.ch/de/companies/960697-sportgarage-autospritzwerk-florian-waelti?utm_source=oberaargau","PROFIL ANSEHEN")</f>
        <v>PROFIL ANSEHEN</v>
      </c>
    </row>
    <row r="1903" spans="1:12" x14ac:dyDescent="0.2">
      <c r="A1903" t="s">
        <v>5451</v>
      </c>
      <c r="B1903" t="s">
        <v>5452</v>
      </c>
      <c r="C1903" t="s">
        <v>1812</v>
      </c>
      <c r="E1903" t="s">
        <v>5453</v>
      </c>
      <c r="F1903">
        <v>4900</v>
      </c>
      <c r="G1903" t="s">
        <v>41</v>
      </c>
      <c r="H1903" t="s">
        <v>16</v>
      </c>
      <c r="I1903" t="s">
        <v>1296</v>
      </c>
      <c r="J1903" t="s">
        <v>1297</v>
      </c>
      <c r="K1903" t="s">
        <v>1809</v>
      </c>
      <c r="L1903" t="str">
        <f>HYPERLINK("https://business-monitor.ch/de/companies/209410-p-fornara?utm_source=oberaargau","PROFIL ANSEHEN")</f>
        <v>PROFIL ANSEHEN</v>
      </c>
    </row>
    <row r="1904" spans="1:12" x14ac:dyDescent="0.2">
      <c r="A1904" t="s">
        <v>10302</v>
      </c>
      <c r="B1904" t="s">
        <v>10303</v>
      </c>
      <c r="C1904" t="s">
        <v>202</v>
      </c>
      <c r="D1904" t="s">
        <v>10304</v>
      </c>
      <c r="E1904" t="s">
        <v>10305</v>
      </c>
      <c r="F1904">
        <v>3360</v>
      </c>
      <c r="G1904" t="s">
        <v>35</v>
      </c>
      <c r="H1904" t="s">
        <v>16</v>
      </c>
      <c r="I1904" t="s">
        <v>551</v>
      </c>
      <c r="J1904" t="s">
        <v>552</v>
      </c>
      <c r="K1904" t="s">
        <v>1809</v>
      </c>
      <c r="L1904" t="str">
        <f>HYPERLINK("https://business-monitor.ch/de/companies/563739-aa-managementpartner-gmbh?utm_source=oberaargau","PROFIL ANSEHEN")</f>
        <v>PROFIL ANSEHEN</v>
      </c>
    </row>
    <row r="1905" spans="1:12" x14ac:dyDescent="0.2">
      <c r="A1905" t="s">
        <v>3155</v>
      </c>
      <c r="B1905" t="s">
        <v>3156</v>
      </c>
      <c r="C1905" t="s">
        <v>1812</v>
      </c>
      <c r="E1905" t="s">
        <v>3157</v>
      </c>
      <c r="F1905">
        <v>3363</v>
      </c>
      <c r="G1905" t="s">
        <v>1367</v>
      </c>
      <c r="H1905" t="s">
        <v>16</v>
      </c>
      <c r="I1905" t="s">
        <v>1855</v>
      </c>
      <c r="J1905" t="s">
        <v>1856</v>
      </c>
      <c r="K1905" t="s">
        <v>1809</v>
      </c>
      <c r="L1905" t="str">
        <f>HYPERLINK("https://business-monitor.ch/de/companies/308840-kosmetik-mon-bijou-barbara-brechbuehl?utm_source=oberaargau","PROFIL ANSEHEN")</f>
        <v>PROFIL ANSEHEN</v>
      </c>
    </row>
    <row r="1906" spans="1:12" x14ac:dyDescent="0.2">
      <c r="A1906" t="s">
        <v>2047</v>
      </c>
      <c r="B1906" t="s">
        <v>2048</v>
      </c>
      <c r="C1906" t="s">
        <v>1812</v>
      </c>
      <c r="E1906" t="s">
        <v>2049</v>
      </c>
      <c r="F1906">
        <v>4900</v>
      </c>
      <c r="G1906" t="s">
        <v>41</v>
      </c>
      <c r="H1906" t="s">
        <v>16</v>
      </c>
      <c r="I1906" t="s">
        <v>2050</v>
      </c>
      <c r="J1906" t="s">
        <v>2051</v>
      </c>
      <c r="K1906" t="s">
        <v>1809</v>
      </c>
      <c r="L1906" t="str">
        <f>HYPERLINK("https://business-monitor.ch/de/companies/170852-urs-walter-gloor?utm_source=oberaargau","PROFIL ANSEHEN")</f>
        <v>PROFIL ANSEHEN</v>
      </c>
    </row>
    <row r="1907" spans="1:12" x14ac:dyDescent="0.2">
      <c r="A1907" t="s">
        <v>7599</v>
      </c>
      <c r="B1907" t="s">
        <v>7600</v>
      </c>
      <c r="C1907" t="s">
        <v>1812</v>
      </c>
      <c r="E1907" t="s">
        <v>7601</v>
      </c>
      <c r="F1907">
        <v>4900</v>
      </c>
      <c r="G1907" t="s">
        <v>41</v>
      </c>
      <c r="H1907" t="s">
        <v>16</v>
      </c>
      <c r="I1907" t="s">
        <v>1993</v>
      </c>
      <c r="J1907" t="s">
        <v>1994</v>
      </c>
      <c r="K1907" t="s">
        <v>1809</v>
      </c>
      <c r="L1907" t="str">
        <f>HYPERLINK("https://business-monitor.ch/de/companies/669973-immobilienmaklerin-ruth-joerg?utm_source=oberaargau","PROFIL ANSEHEN")</f>
        <v>PROFIL ANSEHEN</v>
      </c>
    </row>
    <row r="1908" spans="1:12" x14ac:dyDescent="0.2">
      <c r="A1908" t="s">
        <v>7592</v>
      </c>
      <c r="B1908" t="s">
        <v>7593</v>
      </c>
      <c r="C1908" t="s">
        <v>1812</v>
      </c>
      <c r="E1908" t="s">
        <v>4611</v>
      </c>
      <c r="F1908">
        <v>4913</v>
      </c>
      <c r="G1908" t="s">
        <v>207</v>
      </c>
      <c r="H1908" t="s">
        <v>16</v>
      </c>
      <c r="I1908" t="s">
        <v>1097</v>
      </c>
      <c r="J1908" t="s">
        <v>1098</v>
      </c>
      <c r="K1908" t="s">
        <v>1809</v>
      </c>
      <c r="L1908" t="str">
        <f>HYPERLINK("https://business-monitor.ch/de/companies/676696-kebmusic-leimgruber-georg?utm_source=oberaargau","PROFIL ANSEHEN")</f>
        <v>PROFIL ANSEHEN</v>
      </c>
    </row>
    <row r="1909" spans="1:12" x14ac:dyDescent="0.2">
      <c r="A1909" t="s">
        <v>4050</v>
      </c>
      <c r="B1909" t="s">
        <v>4051</v>
      </c>
      <c r="C1909" t="s">
        <v>13</v>
      </c>
      <c r="E1909" t="s">
        <v>166</v>
      </c>
      <c r="F1909">
        <v>4900</v>
      </c>
      <c r="G1909" t="s">
        <v>41</v>
      </c>
      <c r="H1909" t="s">
        <v>16</v>
      </c>
      <c r="I1909" t="s">
        <v>4052</v>
      </c>
      <c r="J1909" t="s">
        <v>4053</v>
      </c>
      <c r="K1909" t="s">
        <v>1809</v>
      </c>
      <c r="L1909" t="str">
        <f>HYPERLINK("https://business-monitor.ch/de/companies/534693-microtunnel-ch-ag?utm_source=oberaargau","PROFIL ANSEHEN")</f>
        <v>PROFIL ANSEHEN</v>
      </c>
    </row>
    <row r="1910" spans="1:12" x14ac:dyDescent="0.2">
      <c r="A1910" t="s">
        <v>7403</v>
      </c>
      <c r="B1910" t="s">
        <v>7404</v>
      </c>
      <c r="C1910" t="s">
        <v>202</v>
      </c>
      <c r="D1910" t="s">
        <v>7405</v>
      </c>
      <c r="E1910" t="s">
        <v>7406</v>
      </c>
      <c r="F1910">
        <v>4900</v>
      </c>
      <c r="G1910" t="s">
        <v>41</v>
      </c>
      <c r="H1910" t="s">
        <v>16</v>
      </c>
      <c r="I1910" t="s">
        <v>4247</v>
      </c>
      <c r="J1910" t="s">
        <v>4248</v>
      </c>
      <c r="K1910" t="s">
        <v>1809</v>
      </c>
      <c r="L1910" t="str">
        <f>HYPERLINK("https://business-monitor.ch/de/companies/960988-kwop-gmbh?utm_source=oberaargau","PROFIL ANSEHEN")</f>
        <v>PROFIL ANSEHEN</v>
      </c>
    </row>
    <row r="1911" spans="1:12" x14ac:dyDescent="0.2">
      <c r="A1911" t="s">
        <v>6730</v>
      </c>
      <c r="B1911" t="s">
        <v>6731</v>
      </c>
      <c r="C1911" t="s">
        <v>202</v>
      </c>
      <c r="E1911" t="s">
        <v>6732</v>
      </c>
      <c r="F1911">
        <v>4922</v>
      </c>
      <c r="G1911" t="s">
        <v>99</v>
      </c>
      <c r="H1911" t="s">
        <v>16</v>
      </c>
      <c r="I1911" t="s">
        <v>2825</v>
      </c>
      <c r="J1911" t="s">
        <v>2826</v>
      </c>
      <c r="K1911" t="s">
        <v>1809</v>
      </c>
      <c r="L1911" t="str">
        <f>HYPERLINK("https://business-monitor.ch/de/companies/132621-beklebt-ch-gmbh?utm_source=oberaargau","PROFIL ANSEHEN")</f>
        <v>PROFIL ANSEHEN</v>
      </c>
    </row>
    <row r="1912" spans="1:12" x14ac:dyDescent="0.2">
      <c r="A1912" t="s">
        <v>9913</v>
      </c>
      <c r="B1912" t="s">
        <v>11854</v>
      </c>
      <c r="C1912" t="s">
        <v>1812</v>
      </c>
      <c r="E1912" t="s">
        <v>11855</v>
      </c>
      <c r="F1912">
        <v>4924</v>
      </c>
      <c r="G1912" t="s">
        <v>3727</v>
      </c>
      <c r="H1912" t="s">
        <v>16</v>
      </c>
      <c r="I1912" t="s">
        <v>748</v>
      </c>
      <c r="J1912" t="s">
        <v>749</v>
      </c>
      <c r="K1912" t="s">
        <v>1809</v>
      </c>
      <c r="L1912" t="str">
        <f>HYPERLINK("https://business-monitor.ch/de/companies/961840-malergeschaeft-keusen-inh-marco-burkhalter?utm_source=oberaargau","PROFIL ANSEHEN")</f>
        <v>PROFIL ANSEHEN</v>
      </c>
    </row>
    <row r="1913" spans="1:12" x14ac:dyDescent="0.2">
      <c r="A1913" t="s">
        <v>4726</v>
      </c>
      <c r="B1913" t="s">
        <v>4727</v>
      </c>
      <c r="C1913" t="s">
        <v>202</v>
      </c>
      <c r="E1913" t="s">
        <v>4728</v>
      </c>
      <c r="F1913">
        <v>4922</v>
      </c>
      <c r="G1913" t="s">
        <v>99</v>
      </c>
      <c r="H1913" t="s">
        <v>16</v>
      </c>
      <c r="I1913" t="s">
        <v>4729</v>
      </c>
      <c r="J1913" t="s">
        <v>4730</v>
      </c>
      <c r="K1913" t="s">
        <v>1809</v>
      </c>
      <c r="L1913" t="str">
        <f>HYPERLINK("https://business-monitor.ch/de/companies/587210-vetsch-rail-consulting-gmbh?utm_source=oberaargau","PROFIL ANSEHEN")</f>
        <v>PROFIL ANSEHEN</v>
      </c>
    </row>
    <row r="1914" spans="1:12" x14ac:dyDescent="0.2">
      <c r="A1914" t="s">
        <v>2321</v>
      </c>
      <c r="B1914" t="s">
        <v>2322</v>
      </c>
      <c r="C1914" t="s">
        <v>1812</v>
      </c>
      <c r="E1914" t="s">
        <v>2323</v>
      </c>
      <c r="F1914">
        <v>3380</v>
      </c>
      <c r="G1914" t="s">
        <v>29</v>
      </c>
      <c r="H1914" t="s">
        <v>16</v>
      </c>
      <c r="I1914" t="s">
        <v>997</v>
      </c>
      <c r="J1914" t="s">
        <v>998</v>
      </c>
      <c r="K1914" t="s">
        <v>1809</v>
      </c>
      <c r="L1914" t="str">
        <f>HYPERLINK("https://business-monitor.ch/de/companies/232356-heinz-fischer-bau-und-kunstschlosserei?utm_source=oberaargau","PROFIL ANSEHEN")</f>
        <v>PROFIL ANSEHEN</v>
      </c>
    </row>
    <row r="1915" spans="1:12" x14ac:dyDescent="0.2">
      <c r="A1915" t="s">
        <v>3412</v>
      </c>
      <c r="B1915" t="s">
        <v>3413</v>
      </c>
      <c r="C1915" t="s">
        <v>13</v>
      </c>
      <c r="E1915" t="s">
        <v>3414</v>
      </c>
      <c r="F1915">
        <v>4938</v>
      </c>
      <c r="G1915" t="s">
        <v>618</v>
      </c>
      <c r="H1915" t="s">
        <v>16</v>
      </c>
      <c r="I1915" t="s">
        <v>260</v>
      </c>
      <c r="J1915" t="s">
        <v>261</v>
      </c>
      <c r="K1915" t="s">
        <v>1809</v>
      </c>
      <c r="L1915" t="str">
        <f>HYPERLINK("https://business-monitor.ch/de/companies/187013-architektur-m-luethi-ag?utm_source=oberaargau","PROFIL ANSEHEN")</f>
        <v>PROFIL ANSEHEN</v>
      </c>
    </row>
    <row r="1916" spans="1:12" x14ac:dyDescent="0.2">
      <c r="A1916" t="s">
        <v>8579</v>
      </c>
      <c r="B1916" t="s">
        <v>8580</v>
      </c>
      <c r="C1916" t="s">
        <v>202</v>
      </c>
      <c r="E1916" t="s">
        <v>2705</v>
      </c>
      <c r="F1916">
        <v>4900</v>
      </c>
      <c r="G1916" t="s">
        <v>41</v>
      </c>
      <c r="H1916" t="s">
        <v>16</v>
      </c>
      <c r="I1916" t="s">
        <v>1936</v>
      </c>
      <c r="J1916" t="s">
        <v>1937</v>
      </c>
      <c r="K1916" t="s">
        <v>1809</v>
      </c>
      <c r="L1916" t="str">
        <f>HYPERLINK("https://business-monitor.ch/de/companies/20821-solid-dance-agency-gmbh?utm_source=oberaargau","PROFIL ANSEHEN")</f>
        <v>PROFIL ANSEHEN</v>
      </c>
    </row>
    <row r="1917" spans="1:12" x14ac:dyDescent="0.2">
      <c r="A1917" t="s">
        <v>2964</v>
      </c>
      <c r="B1917" t="s">
        <v>2965</v>
      </c>
      <c r="C1917" t="s">
        <v>202</v>
      </c>
      <c r="E1917" t="s">
        <v>1796</v>
      </c>
      <c r="F1917">
        <v>4938</v>
      </c>
      <c r="G1917" t="s">
        <v>618</v>
      </c>
      <c r="H1917" t="s">
        <v>16</v>
      </c>
      <c r="I1917" t="s">
        <v>824</v>
      </c>
      <c r="J1917" t="s">
        <v>825</v>
      </c>
      <c r="K1917" t="s">
        <v>1809</v>
      </c>
      <c r="L1917" t="str">
        <f>HYPERLINK("https://business-monitor.ch/de/companies/1063514-reschtu-gmbh?utm_source=oberaargau","PROFIL ANSEHEN")</f>
        <v>PROFIL ANSEHEN</v>
      </c>
    </row>
    <row r="1918" spans="1:12" x14ac:dyDescent="0.2">
      <c r="A1918" t="s">
        <v>9009</v>
      </c>
      <c r="B1918" t="s">
        <v>9010</v>
      </c>
      <c r="C1918" t="s">
        <v>202</v>
      </c>
      <c r="E1918" t="s">
        <v>9011</v>
      </c>
      <c r="F1918">
        <v>3367</v>
      </c>
      <c r="G1918" t="s">
        <v>455</v>
      </c>
      <c r="H1918" t="s">
        <v>16</v>
      </c>
      <c r="I1918" t="s">
        <v>153</v>
      </c>
      <c r="J1918" t="s">
        <v>154</v>
      </c>
      <c r="K1918" t="s">
        <v>1809</v>
      </c>
      <c r="L1918" t="str">
        <f>HYPERLINK("https://business-monitor.ch/de/companies/232504-att-tec-gmbh?utm_source=oberaargau","PROFIL ANSEHEN")</f>
        <v>PROFIL ANSEHEN</v>
      </c>
    </row>
    <row r="1919" spans="1:12" x14ac:dyDescent="0.2">
      <c r="A1919" t="s">
        <v>11007</v>
      </c>
      <c r="B1919" t="s">
        <v>11008</v>
      </c>
      <c r="C1919" t="s">
        <v>202</v>
      </c>
      <c r="E1919" t="s">
        <v>3407</v>
      </c>
      <c r="F1919">
        <v>4704</v>
      </c>
      <c r="G1919" t="s">
        <v>221</v>
      </c>
      <c r="H1919" t="s">
        <v>16</v>
      </c>
      <c r="I1919" t="s">
        <v>3493</v>
      </c>
      <c r="J1919" t="s">
        <v>3494</v>
      </c>
      <c r="K1919" t="s">
        <v>1809</v>
      </c>
      <c r="L1919" t="str">
        <f>HYPERLINK("https://business-monitor.ch/de/companies/1120178-finanzplanung-gehriger-gmbh?utm_source=oberaargau","PROFIL ANSEHEN")</f>
        <v>PROFIL ANSEHEN</v>
      </c>
    </row>
    <row r="1920" spans="1:12" x14ac:dyDescent="0.2">
      <c r="A1920" t="s">
        <v>12749</v>
      </c>
      <c r="B1920" t="s">
        <v>12750</v>
      </c>
      <c r="C1920" t="s">
        <v>1812</v>
      </c>
      <c r="E1920" t="s">
        <v>12751</v>
      </c>
      <c r="F1920">
        <v>4938</v>
      </c>
      <c r="G1920" t="s">
        <v>618</v>
      </c>
      <c r="H1920" t="s">
        <v>16</v>
      </c>
      <c r="I1920" t="s">
        <v>551</v>
      </c>
      <c r="J1920" t="s">
        <v>552</v>
      </c>
      <c r="K1920" t="s">
        <v>1809</v>
      </c>
      <c r="L1920" t="str">
        <f>HYPERLINK("https://business-monitor.ch/de/companies/1222594-p-o-c-van-strijen?utm_source=oberaargau","PROFIL ANSEHEN")</f>
        <v>PROFIL ANSEHEN</v>
      </c>
    </row>
    <row r="1921" spans="1:12" x14ac:dyDescent="0.2">
      <c r="A1921" t="s">
        <v>13263</v>
      </c>
      <c r="B1921" t="s">
        <v>13264</v>
      </c>
      <c r="C1921" t="s">
        <v>202</v>
      </c>
      <c r="E1921" t="s">
        <v>13302</v>
      </c>
      <c r="F1921">
        <v>4900</v>
      </c>
      <c r="G1921" t="s">
        <v>41</v>
      </c>
      <c r="H1921" t="s">
        <v>16</v>
      </c>
      <c r="I1921" t="s">
        <v>1852</v>
      </c>
      <c r="J1921" t="s">
        <v>1853</v>
      </c>
      <c r="K1921" t="s">
        <v>1809</v>
      </c>
      <c r="L1921" t="str">
        <f>HYPERLINK("https://business-monitor.ch/de/companies/1240055-felsenfest-immobilien-gmbh?utm_source=oberaargau","PROFIL ANSEHEN")</f>
        <v>PROFIL ANSEHEN</v>
      </c>
    </row>
    <row r="1922" spans="1:12" x14ac:dyDescent="0.2">
      <c r="A1922" t="s">
        <v>9798</v>
      </c>
      <c r="B1922" t="s">
        <v>9799</v>
      </c>
      <c r="C1922" t="s">
        <v>1812</v>
      </c>
      <c r="E1922" t="s">
        <v>3257</v>
      </c>
      <c r="F1922">
        <v>4900</v>
      </c>
      <c r="G1922" t="s">
        <v>41</v>
      </c>
      <c r="H1922" t="s">
        <v>16</v>
      </c>
      <c r="I1922" t="s">
        <v>519</v>
      </c>
      <c r="J1922" t="s">
        <v>520</v>
      </c>
      <c r="K1922" t="s">
        <v>1809</v>
      </c>
      <c r="L1922" t="str">
        <f>HYPERLINK("https://business-monitor.ch/de/companies/1016505-flatterie-karten-papier-jeannette-abt?utm_source=oberaargau","PROFIL ANSEHEN")</f>
        <v>PROFIL ANSEHEN</v>
      </c>
    </row>
    <row r="1923" spans="1:12" x14ac:dyDescent="0.2">
      <c r="A1923" t="s">
        <v>8862</v>
      </c>
      <c r="B1923" t="s">
        <v>8863</v>
      </c>
      <c r="C1923" t="s">
        <v>13</v>
      </c>
      <c r="E1923" t="s">
        <v>12964</v>
      </c>
      <c r="F1923">
        <v>4900</v>
      </c>
      <c r="G1923" t="s">
        <v>41</v>
      </c>
      <c r="H1923" t="s">
        <v>16</v>
      </c>
      <c r="I1923" t="s">
        <v>182</v>
      </c>
      <c r="J1923" t="s">
        <v>183</v>
      </c>
      <c r="K1923" t="s">
        <v>1809</v>
      </c>
      <c r="L1923" t="str">
        <f>HYPERLINK("https://business-monitor.ch/de/companies/314942-createch-holding-ag?utm_source=oberaargau","PROFIL ANSEHEN")</f>
        <v>PROFIL ANSEHEN</v>
      </c>
    </row>
    <row r="1924" spans="1:12" x14ac:dyDescent="0.2">
      <c r="A1924" t="s">
        <v>12447</v>
      </c>
      <c r="B1924" t="s">
        <v>12448</v>
      </c>
      <c r="C1924" t="s">
        <v>2258</v>
      </c>
      <c r="E1924" t="s">
        <v>12449</v>
      </c>
      <c r="F1924">
        <v>3368</v>
      </c>
      <c r="G1924" t="s">
        <v>308</v>
      </c>
      <c r="H1924" t="s">
        <v>16</v>
      </c>
      <c r="I1924" t="s">
        <v>5080</v>
      </c>
      <c r="J1924" t="s">
        <v>5081</v>
      </c>
      <c r="K1924" t="s">
        <v>1809</v>
      </c>
      <c r="L1924" t="str">
        <f>HYPERLINK("https://business-monitor.ch/de/companies/1195590-betroeiig-ufem-burehof-seelefride?utm_source=oberaargau","PROFIL ANSEHEN")</f>
        <v>PROFIL ANSEHEN</v>
      </c>
    </row>
    <row r="1925" spans="1:12" x14ac:dyDescent="0.2">
      <c r="A1925" t="s">
        <v>4416</v>
      </c>
      <c r="B1925" t="s">
        <v>4417</v>
      </c>
      <c r="C1925" t="s">
        <v>13</v>
      </c>
      <c r="E1925" t="s">
        <v>4418</v>
      </c>
      <c r="F1925">
        <v>4922</v>
      </c>
      <c r="G1925" t="s">
        <v>1318</v>
      </c>
      <c r="H1925" t="s">
        <v>16</v>
      </c>
      <c r="I1925" t="s">
        <v>862</v>
      </c>
      <c r="J1925" t="s">
        <v>863</v>
      </c>
      <c r="K1925" t="s">
        <v>1809</v>
      </c>
      <c r="L1925" t="str">
        <f>HYPERLINK("https://business-monitor.ch/de/companies/934541-flueckiger-zeichnungsverlag-ag?utm_source=oberaargau","PROFIL ANSEHEN")</f>
        <v>PROFIL ANSEHEN</v>
      </c>
    </row>
    <row r="1926" spans="1:12" x14ac:dyDescent="0.2">
      <c r="A1926" t="s">
        <v>5702</v>
      </c>
      <c r="B1926" t="s">
        <v>11488</v>
      </c>
      <c r="C1926" t="s">
        <v>13</v>
      </c>
      <c r="E1926" t="s">
        <v>5703</v>
      </c>
      <c r="F1926">
        <v>4900</v>
      </c>
      <c r="G1926" t="s">
        <v>41</v>
      </c>
      <c r="H1926" t="s">
        <v>16</v>
      </c>
      <c r="I1926" t="s">
        <v>935</v>
      </c>
      <c r="J1926" t="s">
        <v>936</v>
      </c>
      <c r="K1926" t="s">
        <v>1809</v>
      </c>
      <c r="L1926" t="str">
        <f>HYPERLINK("https://business-monitor.ch/de/companies/124264-sigiplus-ag?utm_source=oberaargau","PROFIL ANSEHEN")</f>
        <v>PROFIL ANSEHEN</v>
      </c>
    </row>
    <row r="1927" spans="1:12" x14ac:dyDescent="0.2">
      <c r="A1927" t="s">
        <v>10812</v>
      </c>
      <c r="B1927" t="s">
        <v>10813</v>
      </c>
      <c r="C1927" t="s">
        <v>1812</v>
      </c>
      <c r="E1927" t="s">
        <v>10814</v>
      </c>
      <c r="F1927">
        <v>4922</v>
      </c>
      <c r="G1927" t="s">
        <v>99</v>
      </c>
      <c r="H1927" t="s">
        <v>16</v>
      </c>
      <c r="I1927" t="s">
        <v>2647</v>
      </c>
      <c r="J1927" t="s">
        <v>2648</v>
      </c>
      <c r="K1927" t="s">
        <v>1809</v>
      </c>
      <c r="L1927" t="str">
        <f>HYPERLINK("https://business-monitor.ch/de/companies/1110160-miamalina-inh-claudia-kobler?utm_source=oberaargau","PROFIL ANSEHEN")</f>
        <v>PROFIL ANSEHEN</v>
      </c>
    </row>
    <row r="1928" spans="1:12" x14ac:dyDescent="0.2">
      <c r="A1928" t="s">
        <v>3126</v>
      </c>
      <c r="B1928" t="s">
        <v>8846</v>
      </c>
      <c r="C1928" t="s">
        <v>13</v>
      </c>
      <c r="D1928" t="s">
        <v>8847</v>
      </c>
      <c r="E1928" t="s">
        <v>8848</v>
      </c>
      <c r="F1928">
        <v>4900</v>
      </c>
      <c r="G1928" t="s">
        <v>41</v>
      </c>
      <c r="H1928" t="s">
        <v>16</v>
      </c>
      <c r="I1928" t="s">
        <v>2932</v>
      </c>
      <c r="J1928" t="s">
        <v>2933</v>
      </c>
      <c r="K1928" t="s">
        <v>1809</v>
      </c>
      <c r="L1928" t="str">
        <f>HYPERLINK("https://business-monitor.ch/de/companies/325129-buerki-haustechnik-ag?utm_source=oberaargau","PROFIL ANSEHEN")</f>
        <v>PROFIL ANSEHEN</v>
      </c>
    </row>
    <row r="1929" spans="1:12" x14ac:dyDescent="0.2">
      <c r="A1929" t="s">
        <v>6978</v>
      </c>
      <c r="B1929" t="s">
        <v>6979</v>
      </c>
      <c r="C1929" t="s">
        <v>13</v>
      </c>
      <c r="E1929" t="s">
        <v>12799</v>
      </c>
      <c r="F1929">
        <v>4900</v>
      </c>
      <c r="G1929" t="s">
        <v>41</v>
      </c>
      <c r="H1929" t="s">
        <v>16</v>
      </c>
      <c r="I1929" t="s">
        <v>679</v>
      </c>
      <c r="J1929" t="s">
        <v>680</v>
      </c>
      <c r="K1929" t="s">
        <v>1809</v>
      </c>
      <c r="L1929" t="str">
        <f>HYPERLINK("https://business-monitor.ch/de/companies/982278-boesiger-langenthal-wohnen-ag?utm_source=oberaargau","PROFIL ANSEHEN")</f>
        <v>PROFIL ANSEHEN</v>
      </c>
    </row>
    <row r="1930" spans="1:12" x14ac:dyDescent="0.2">
      <c r="A1930" t="s">
        <v>8628</v>
      </c>
      <c r="B1930" t="s">
        <v>8629</v>
      </c>
      <c r="C1930" t="s">
        <v>13</v>
      </c>
      <c r="E1930" t="s">
        <v>5295</v>
      </c>
      <c r="F1930">
        <v>4900</v>
      </c>
      <c r="G1930" t="s">
        <v>41</v>
      </c>
      <c r="H1930" t="s">
        <v>16</v>
      </c>
      <c r="I1930" t="s">
        <v>920</v>
      </c>
      <c r="J1930" t="s">
        <v>921</v>
      </c>
      <c r="K1930" t="s">
        <v>1809</v>
      </c>
      <c r="L1930" t="str">
        <f>HYPERLINK("https://business-monitor.ch/de/companies/268377-steffen-bettwaren-hilfsmittel-ag?utm_source=oberaargau","PROFIL ANSEHEN")</f>
        <v>PROFIL ANSEHEN</v>
      </c>
    </row>
    <row r="1931" spans="1:12" x14ac:dyDescent="0.2">
      <c r="A1931" t="s">
        <v>5184</v>
      </c>
      <c r="B1931" t="s">
        <v>5185</v>
      </c>
      <c r="C1931" t="s">
        <v>13</v>
      </c>
      <c r="E1931" t="s">
        <v>1146</v>
      </c>
      <c r="F1931">
        <v>3360</v>
      </c>
      <c r="G1931" t="s">
        <v>35</v>
      </c>
      <c r="H1931" t="s">
        <v>16</v>
      </c>
      <c r="I1931" t="s">
        <v>4039</v>
      </c>
      <c r="J1931" t="s">
        <v>4040</v>
      </c>
      <c r="K1931" t="s">
        <v>1809</v>
      </c>
      <c r="L1931" t="str">
        <f>HYPERLINK("https://business-monitor.ch/de/companies/252115-lifestyle-fitness-ag?utm_source=oberaargau","PROFIL ANSEHEN")</f>
        <v>PROFIL ANSEHEN</v>
      </c>
    </row>
    <row r="1932" spans="1:12" x14ac:dyDescent="0.2">
      <c r="A1932" t="s">
        <v>12705</v>
      </c>
      <c r="B1932" t="s">
        <v>12706</v>
      </c>
      <c r="C1932" t="s">
        <v>1812</v>
      </c>
      <c r="E1932" t="s">
        <v>1067</v>
      </c>
      <c r="F1932">
        <v>3360</v>
      </c>
      <c r="G1932" t="s">
        <v>35</v>
      </c>
      <c r="H1932" t="s">
        <v>16</v>
      </c>
      <c r="I1932" t="s">
        <v>1835</v>
      </c>
      <c r="J1932" t="s">
        <v>1836</v>
      </c>
      <c r="K1932" t="s">
        <v>1809</v>
      </c>
      <c r="L1932" t="str">
        <f>HYPERLINK("https://business-monitor.ch/de/companies/1205268-mertclean-inhaber-reshiti?utm_source=oberaargau","PROFIL ANSEHEN")</f>
        <v>PROFIL ANSEHEN</v>
      </c>
    </row>
    <row r="1933" spans="1:12" x14ac:dyDescent="0.2">
      <c r="A1933" t="s">
        <v>12601</v>
      </c>
      <c r="B1933" t="s">
        <v>12602</v>
      </c>
      <c r="C1933" t="s">
        <v>1827</v>
      </c>
      <c r="E1933" t="s">
        <v>12603</v>
      </c>
      <c r="F1933">
        <v>4914</v>
      </c>
      <c r="G1933" t="s">
        <v>105</v>
      </c>
      <c r="H1933" t="s">
        <v>16</v>
      </c>
      <c r="I1933" t="s">
        <v>497</v>
      </c>
      <c r="J1933" t="s">
        <v>498</v>
      </c>
      <c r="K1933" t="s">
        <v>1809</v>
      </c>
      <c r="L1933" t="str">
        <f>HYPERLINK("https://business-monitor.ch/de/companies/1206076-zaeme-kreativ-klg?utm_source=oberaargau","PROFIL ANSEHEN")</f>
        <v>PROFIL ANSEHEN</v>
      </c>
    </row>
    <row r="1934" spans="1:12" x14ac:dyDescent="0.2">
      <c r="A1934" t="s">
        <v>12710</v>
      </c>
      <c r="B1934" t="s">
        <v>12711</v>
      </c>
      <c r="C1934" t="s">
        <v>1812</v>
      </c>
      <c r="E1934" t="s">
        <v>12712</v>
      </c>
      <c r="F1934">
        <v>4950</v>
      </c>
      <c r="G1934" t="s">
        <v>15</v>
      </c>
      <c r="H1934" t="s">
        <v>16</v>
      </c>
      <c r="I1934" t="s">
        <v>1835</v>
      </c>
      <c r="J1934" t="s">
        <v>1836</v>
      </c>
      <c r="K1934" t="s">
        <v>1809</v>
      </c>
      <c r="L1934" t="str">
        <f>HYPERLINK("https://business-monitor.ch/de/companies/1206807-adriana-reinigung-inh-wajkai-istvan-szabolcs?utm_source=oberaargau","PROFIL ANSEHEN")</f>
        <v>PROFIL ANSEHEN</v>
      </c>
    </row>
    <row r="1935" spans="1:12" x14ac:dyDescent="0.2">
      <c r="A1935" t="s">
        <v>12713</v>
      </c>
      <c r="B1935" t="s">
        <v>12714</v>
      </c>
      <c r="C1935" t="s">
        <v>202</v>
      </c>
      <c r="D1935" t="s">
        <v>12715</v>
      </c>
      <c r="E1935" t="s">
        <v>3913</v>
      </c>
      <c r="F1935">
        <v>3360</v>
      </c>
      <c r="G1935" t="s">
        <v>35</v>
      </c>
      <c r="H1935" t="s">
        <v>16</v>
      </c>
      <c r="I1935" t="s">
        <v>182</v>
      </c>
      <c r="J1935" t="s">
        <v>183</v>
      </c>
      <c r="K1935" t="s">
        <v>1809</v>
      </c>
      <c r="L1935" t="str">
        <f>HYPERLINK("https://business-monitor.ch/de/companies/1208826-kochtoepfli-holding-gmbh?utm_source=oberaargau","PROFIL ANSEHEN")</f>
        <v>PROFIL ANSEHEN</v>
      </c>
    </row>
    <row r="1936" spans="1:12" x14ac:dyDescent="0.2">
      <c r="A1936" t="s">
        <v>12620</v>
      </c>
      <c r="B1936" t="s">
        <v>12621</v>
      </c>
      <c r="C1936" t="s">
        <v>13</v>
      </c>
      <c r="E1936" t="s">
        <v>98</v>
      </c>
      <c r="F1936">
        <v>4922</v>
      </c>
      <c r="G1936" t="s">
        <v>99</v>
      </c>
      <c r="H1936" t="s">
        <v>16</v>
      </c>
      <c r="I1936" t="s">
        <v>186</v>
      </c>
      <c r="J1936" t="s">
        <v>187</v>
      </c>
      <c r="K1936" t="s">
        <v>1809</v>
      </c>
      <c r="L1936" t="str">
        <f>HYPERLINK("https://business-monitor.ch/de/companies/1207193-sabla-ag?utm_source=oberaargau","PROFIL ANSEHEN")</f>
        <v>PROFIL ANSEHEN</v>
      </c>
    </row>
    <row r="1937" spans="1:12" x14ac:dyDescent="0.2">
      <c r="A1937" t="s">
        <v>9708</v>
      </c>
      <c r="B1937" t="s">
        <v>14484</v>
      </c>
      <c r="C1937" t="s">
        <v>1812</v>
      </c>
      <c r="E1937" t="s">
        <v>14485</v>
      </c>
      <c r="F1937">
        <v>4900</v>
      </c>
      <c r="G1937" t="s">
        <v>41</v>
      </c>
      <c r="H1937" t="s">
        <v>16</v>
      </c>
      <c r="I1937" t="s">
        <v>4577</v>
      </c>
      <c r="J1937" t="s">
        <v>4578</v>
      </c>
      <c r="K1937" t="s">
        <v>1809</v>
      </c>
      <c r="L1937" t="str">
        <f>HYPERLINK("https://business-monitor.ch/de/companies/1204498-solura-ch-djurisic?utm_source=oberaargau","PROFIL ANSEHEN")</f>
        <v>PROFIL ANSEHEN</v>
      </c>
    </row>
    <row r="1938" spans="1:12" x14ac:dyDescent="0.2">
      <c r="A1938" t="s">
        <v>12724</v>
      </c>
      <c r="B1938" t="s">
        <v>12725</v>
      </c>
      <c r="C1938" t="s">
        <v>1812</v>
      </c>
      <c r="E1938" t="s">
        <v>12726</v>
      </c>
      <c r="F1938">
        <v>4912</v>
      </c>
      <c r="G1938" t="s">
        <v>64</v>
      </c>
      <c r="H1938" t="s">
        <v>16</v>
      </c>
      <c r="I1938" t="s">
        <v>1535</v>
      </c>
      <c r="J1938" t="s">
        <v>1536</v>
      </c>
      <c r="K1938" t="s">
        <v>1809</v>
      </c>
      <c r="L1938" t="str">
        <f>HYPERLINK("https://business-monitor.ch/de/companies/1202050-fussballrasenpflege-kuenzi?utm_source=oberaargau","PROFIL ANSEHEN")</f>
        <v>PROFIL ANSEHEN</v>
      </c>
    </row>
    <row r="1939" spans="1:12" x14ac:dyDescent="0.2">
      <c r="A1939" t="s">
        <v>12625</v>
      </c>
      <c r="B1939" t="s">
        <v>12626</v>
      </c>
      <c r="C1939" t="s">
        <v>202</v>
      </c>
      <c r="E1939" t="s">
        <v>12627</v>
      </c>
      <c r="F1939">
        <v>3362</v>
      </c>
      <c r="G1939" t="s">
        <v>47</v>
      </c>
      <c r="H1939" t="s">
        <v>16</v>
      </c>
      <c r="I1939" t="s">
        <v>642</v>
      </c>
      <c r="J1939" t="s">
        <v>643</v>
      </c>
      <c r="K1939" t="s">
        <v>1809</v>
      </c>
      <c r="L1939" t="str">
        <f>HYPERLINK("https://business-monitor.ch/de/companies/1208322-replex-gmbh?utm_source=oberaargau","PROFIL ANSEHEN")</f>
        <v>PROFIL ANSEHEN</v>
      </c>
    </row>
    <row r="1940" spans="1:12" x14ac:dyDescent="0.2">
      <c r="A1940" t="s">
        <v>12727</v>
      </c>
      <c r="B1940" t="s">
        <v>12728</v>
      </c>
      <c r="C1940" t="s">
        <v>202</v>
      </c>
      <c r="E1940" t="s">
        <v>584</v>
      </c>
      <c r="F1940">
        <v>3380</v>
      </c>
      <c r="G1940" t="s">
        <v>29</v>
      </c>
      <c r="H1940" t="s">
        <v>16</v>
      </c>
      <c r="I1940" t="s">
        <v>331</v>
      </c>
      <c r="J1940" t="s">
        <v>332</v>
      </c>
      <c r="K1940" t="s">
        <v>1809</v>
      </c>
      <c r="L1940" t="str">
        <f>HYPERLINK("https://business-monitor.ch/de/companies/1208339-aare-schweisstechnik-gmbh?utm_source=oberaargau","PROFIL ANSEHEN")</f>
        <v>PROFIL ANSEHEN</v>
      </c>
    </row>
    <row r="1941" spans="1:12" x14ac:dyDescent="0.2">
      <c r="A1941" t="s">
        <v>4315</v>
      </c>
      <c r="B1941" t="s">
        <v>4316</v>
      </c>
      <c r="C1941" t="s">
        <v>1812</v>
      </c>
      <c r="E1941" t="s">
        <v>2460</v>
      </c>
      <c r="F1941">
        <v>4900</v>
      </c>
      <c r="G1941" t="s">
        <v>41</v>
      </c>
      <c r="H1941" t="s">
        <v>16</v>
      </c>
      <c r="I1941" t="s">
        <v>4317</v>
      </c>
      <c r="J1941" t="s">
        <v>4318</v>
      </c>
      <c r="K1941" t="s">
        <v>1809</v>
      </c>
      <c r="L1941" t="str">
        <f>HYPERLINK("https://business-monitor.ch/de/companies/969547-happy-heart-strametz?utm_source=oberaargau","PROFIL ANSEHEN")</f>
        <v>PROFIL ANSEHEN</v>
      </c>
    </row>
    <row r="1942" spans="1:12" x14ac:dyDescent="0.2">
      <c r="A1942" t="s">
        <v>10507</v>
      </c>
      <c r="B1942" t="s">
        <v>10508</v>
      </c>
      <c r="C1942" t="s">
        <v>2178</v>
      </c>
      <c r="E1942" t="s">
        <v>10509</v>
      </c>
      <c r="F1942">
        <v>4704</v>
      </c>
      <c r="G1942" t="s">
        <v>221</v>
      </c>
      <c r="H1942" t="s">
        <v>16</v>
      </c>
      <c r="I1942" t="s">
        <v>10510</v>
      </c>
      <c r="J1942" t="s">
        <v>10511</v>
      </c>
      <c r="K1942" t="s">
        <v>1809</v>
      </c>
      <c r="L1942" t="str">
        <f>HYPERLINK("https://business-monitor.ch/de/companies/935546-a3-betonpumpen-ag?utm_source=oberaargau","PROFIL ANSEHEN")</f>
        <v>PROFIL ANSEHEN</v>
      </c>
    </row>
    <row r="1943" spans="1:12" x14ac:dyDescent="0.2">
      <c r="A1943" t="s">
        <v>9280</v>
      </c>
      <c r="B1943" t="s">
        <v>9281</v>
      </c>
      <c r="C1943" t="s">
        <v>13</v>
      </c>
      <c r="E1943" t="s">
        <v>13603</v>
      </c>
      <c r="F1943">
        <v>4900</v>
      </c>
      <c r="G1943" t="s">
        <v>41</v>
      </c>
      <c r="H1943" t="s">
        <v>16</v>
      </c>
      <c r="I1943" t="s">
        <v>917</v>
      </c>
      <c r="J1943" t="s">
        <v>918</v>
      </c>
      <c r="K1943" t="s">
        <v>1809</v>
      </c>
      <c r="L1943" t="str">
        <f>HYPERLINK("https://business-monitor.ch/de/companies/105685-aws-ag?utm_source=oberaargau","PROFIL ANSEHEN")</f>
        <v>PROFIL ANSEHEN</v>
      </c>
    </row>
    <row r="1944" spans="1:12" x14ac:dyDescent="0.2">
      <c r="A1944" t="s">
        <v>5517</v>
      </c>
      <c r="B1944" t="s">
        <v>5518</v>
      </c>
      <c r="C1944" t="s">
        <v>84</v>
      </c>
      <c r="D1944" t="s">
        <v>5519</v>
      </c>
      <c r="E1944" t="s">
        <v>5520</v>
      </c>
      <c r="F1944">
        <v>3372</v>
      </c>
      <c r="G1944" t="s">
        <v>2120</v>
      </c>
      <c r="H1944" t="s">
        <v>16</v>
      </c>
      <c r="I1944" t="s">
        <v>1229</v>
      </c>
      <c r="J1944" t="s">
        <v>1230</v>
      </c>
      <c r="K1944" t="s">
        <v>1809</v>
      </c>
      <c r="L1944" t="str">
        <f>HYPERLINK("https://business-monitor.ch/de/companies/106266-pferdezuchtgenossenschaft-oberaargau?utm_source=oberaargau","PROFIL ANSEHEN")</f>
        <v>PROFIL ANSEHEN</v>
      </c>
    </row>
    <row r="1945" spans="1:12" x14ac:dyDescent="0.2">
      <c r="A1945" t="s">
        <v>2372</v>
      </c>
      <c r="B1945" t="s">
        <v>2373</v>
      </c>
      <c r="C1945" t="s">
        <v>2178</v>
      </c>
      <c r="E1945" t="s">
        <v>2374</v>
      </c>
      <c r="F1945">
        <v>3380</v>
      </c>
      <c r="G1945" t="s">
        <v>29</v>
      </c>
      <c r="H1945" t="s">
        <v>16</v>
      </c>
      <c r="I1945" t="s">
        <v>2249</v>
      </c>
      <c r="J1945" t="s">
        <v>2250</v>
      </c>
      <c r="K1945" t="s">
        <v>1809</v>
      </c>
      <c r="L1945" t="str">
        <f>HYPERLINK("https://business-monitor.ch/de/companies/118285-real-zaeune-ag?utm_source=oberaargau","PROFIL ANSEHEN")</f>
        <v>PROFIL ANSEHEN</v>
      </c>
    </row>
    <row r="1946" spans="1:12" x14ac:dyDescent="0.2">
      <c r="A1946" t="s">
        <v>12412</v>
      </c>
      <c r="B1946" t="s">
        <v>12413</v>
      </c>
      <c r="C1946" t="s">
        <v>202</v>
      </c>
      <c r="D1946" t="s">
        <v>11648</v>
      </c>
      <c r="E1946" t="s">
        <v>9493</v>
      </c>
      <c r="F1946">
        <v>4912</v>
      </c>
      <c r="G1946" t="s">
        <v>64</v>
      </c>
      <c r="H1946" t="s">
        <v>16</v>
      </c>
      <c r="I1946" t="s">
        <v>733</v>
      </c>
      <c r="J1946" t="s">
        <v>734</v>
      </c>
      <c r="K1946" t="s">
        <v>1809</v>
      </c>
      <c r="L1946" t="str">
        <f>HYPERLINK("https://business-monitor.ch/de/companies/122010-insel-swiss-gmbh?utm_source=oberaargau","PROFIL ANSEHEN")</f>
        <v>PROFIL ANSEHEN</v>
      </c>
    </row>
    <row r="1947" spans="1:12" x14ac:dyDescent="0.2">
      <c r="A1947" t="s">
        <v>5487</v>
      </c>
      <c r="B1947" t="s">
        <v>5488</v>
      </c>
      <c r="C1947" t="s">
        <v>1812</v>
      </c>
      <c r="E1947" t="s">
        <v>5489</v>
      </c>
      <c r="F1947">
        <v>4917</v>
      </c>
      <c r="G1947" t="s">
        <v>2848</v>
      </c>
      <c r="H1947" t="s">
        <v>16</v>
      </c>
      <c r="I1947" t="s">
        <v>5245</v>
      </c>
      <c r="J1947" t="s">
        <v>5246</v>
      </c>
      <c r="K1947" t="s">
        <v>1809</v>
      </c>
      <c r="L1947" t="str">
        <f>HYPERLINK("https://business-monitor.ch/de/companies/158407-reto-schulthess?utm_source=oberaargau","PROFIL ANSEHEN")</f>
        <v>PROFIL ANSEHEN</v>
      </c>
    </row>
    <row r="1948" spans="1:12" x14ac:dyDescent="0.2">
      <c r="A1948" t="s">
        <v>8166</v>
      </c>
      <c r="B1948" t="s">
        <v>8167</v>
      </c>
      <c r="C1948" t="s">
        <v>1812</v>
      </c>
      <c r="E1948" t="s">
        <v>8168</v>
      </c>
      <c r="F1948">
        <v>4537</v>
      </c>
      <c r="G1948" t="s">
        <v>113</v>
      </c>
      <c r="H1948" t="s">
        <v>16</v>
      </c>
      <c r="I1948" t="s">
        <v>824</v>
      </c>
      <c r="J1948" t="s">
        <v>825</v>
      </c>
      <c r="K1948" t="s">
        <v>1809</v>
      </c>
      <c r="L1948" t="str">
        <f>HYPERLINK("https://business-monitor.ch/de/companies/173778-restaurant-rebstock-e-kaenzig?utm_source=oberaargau","PROFIL ANSEHEN")</f>
        <v>PROFIL ANSEHEN</v>
      </c>
    </row>
    <row r="1949" spans="1:12" x14ac:dyDescent="0.2">
      <c r="A1949" t="s">
        <v>3423</v>
      </c>
      <c r="B1949" t="s">
        <v>3424</v>
      </c>
      <c r="C1949" t="s">
        <v>1812</v>
      </c>
      <c r="E1949" t="s">
        <v>3425</v>
      </c>
      <c r="F1949">
        <v>4538</v>
      </c>
      <c r="G1949" t="s">
        <v>71</v>
      </c>
      <c r="H1949" t="s">
        <v>16</v>
      </c>
      <c r="I1949" t="s">
        <v>2231</v>
      </c>
      <c r="J1949" t="s">
        <v>2232</v>
      </c>
      <c r="K1949" t="s">
        <v>1809</v>
      </c>
      <c r="L1949" t="str">
        <f>HYPERLINK("https://business-monitor.ch/de/companies/182087-malergeschaeft-adi-rogenmoser?utm_source=oberaargau","PROFIL ANSEHEN")</f>
        <v>PROFIL ANSEHEN</v>
      </c>
    </row>
    <row r="1950" spans="1:12" x14ac:dyDescent="0.2">
      <c r="A1950" t="s">
        <v>1530</v>
      </c>
      <c r="B1950" t="s">
        <v>8157</v>
      </c>
      <c r="C1950" t="s">
        <v>13</v>
      </c>
      <c r="E1950" t="s">
        <v>8158</v>
      </c>
      <c r="F1950">
        <v>3366</v>
      </c>
      <c r="G1950" t="s">
        <v>2780</v>
      </c>
      <c r="H1950" t="s">
        <v>16</v>
      </c>
      <c r="I1950" t="s">
        <v>24</v>
      </c>
      <c r="J1950" t="s">
        <v>25</v>
      </c>
      <c r="K1950" t="s">
        <v>1809</v>
      </c>
      <c r="L1950" t="str">
        <f>HYPERLINK("https://business-monitor.ch/de/companies/180550-etzensperger-informatik-ag?utm_source=oberaargau","PROFIL ANSEHEN")</f>
        <v>PROFIL ANSEHEN</v>
      </c>
    </row>
    <row r="1951" spans="1:12" x14ac:dyDescent="0.2">
      <c r="A1951" t="s">
        <v>9721</v>
      </c>
      <c r="B1951" t="s">
        <v>9722</v>
      </c>
      <c r="C1951" t="s">
        <v>202</v>
      </c>
      <c r="E1951" t="s">
        <v>9723</v>
      </c>
      <c r="F1951">
        <v>4537</v>
      </c>
      <c r="G1951" t="s">
        <v>113</v>
      </c>
      <c r="H1951" t="s">
        <v>16</v>
      </c>
      <c r="I1951" t="s">
        <v>6437</v>
      </c>
      <c r="J1951" t="s">
        <v>6438</v>
      </c>
      <c r="K1951" t="s">
        <v>1809</v>
      </c>
      <c r="L1951" t="str">
        <f>HYPERLINK("https://business-monitor.ch/de/companies/1044089-bohner-s-bnb-gmbh?utm_source=oberaargau","PROFIL ANSEHEN")</f>
        <v>PROFIL ANSEHEN</v>
      </c>
    </row>
    <row r="1952" spans="1:12" x14ac:dyDescent="0.2">
      <c r="A1952" t="s">
        <v>1957</v>
      </c>
      <c r="B1952" t="s">
        <v>1983</v>
      </c>
      <c r="C1952" t="s">
        <v>1812</v>
      </c>
      <c r="E1952" t="s">
        <v>1984</v>
      </c>
      <c r="F1952">
        <v>4537</v>
      </c>
      <c r="G1952" t="s">
        <v>113</v>
      </c>
      <c r="H1952" t="s">
        <v>16</v>
      </c>
      <c r="I1952" t="s">
        <v>464</v>
      </c>
      <c r="J1952" t="s">
        <v>465</v>
      </c>
      <c r="K1952" t="s">
        <v>1809</v>
      </c>
      <c r="L1952" t="str">
        <f>HYPERLINK("https://business-monitor.ch/de/companies/210523-heinz-kopp-transporte?utm_source=oberaargau","PROFIL ANSEHEN")</f>
        <v>PROFIL ANSEHEN</v>
      </c>
    </row>
    <row r="1953" spans="1:12" x14ac:dyDescent="0.2">
      <c r="A1953" t="s">
        <v>1975</v>
      </c>
      <c r="B1953" t="s">
        <v>1976</v>
      </c>
      <c r="C1953" t="s">
        <v>1812</v>
      </c>
      <c r="E1953" t="s">
        <v>1977</v>
      </c>
      <c r="F1953">
        <v>3373</v>
      </c>
      <c r="G1953" t="s">
        <v>1640</v>
      </c>
      <c r="H1953" t="s">
        <v>16</v>
      </c>
      <c r="I1953" t="s">
        <v>642</v>
      </c>
      <c r="J1953" t="s">
        <v>643</v>
      </c>
      <c r="K1953" t="s">
        <v>1809</v>
      </c>
      <c r="L1953" t="str">
        <f>HYPERLINK("https://business-monitor.ch/de/companies/210602-garage-k-affolter?utm_source=oberaargau","PROFIL ANSEHEN")</f>
        <v>PROFIL ANSEHEN</v>
      </c>
    </row>
    <row r="1954" spans="1:12" x14ac:dyDescent="0.2">
      <c r="A1954" t="s">
        <v>9470</v>
      </c>
      <c r="B1954" t="s">
        <v>9471</v>
      </c>
      <c r="C1954" t="s">
        <v>13</v>
      </c>
      <c r="E1954" t="s">
        <v>1787</v>
      </c>
      <c r="F1954">
        <v>4900</v>
      </c>
      <c r="G1954" t="s">
        <v>41</v>
      </c>
      <c r="H1954" t="s">
        <v>16</v>
      </c>
      <c r="I1954" t="s">
        <v>9472</v>
      </c>
      <c r="J1954" t="s">
        <v>9473</v>
      </c>
      <c r="K1954" t="s">
        <v>1809</v>
      </c>
      <c r="L1954" t="str">
        <f>HYPERLINK("https://business-monitor.ch/de/companies/216708-ryno-energy-ag?utm_source=oberaargau","PROFIL ANSEHEN")</f>
        <v>PROFIL ANSEHEN</v>
      </c>
    </row>
    <row r="1955" spans="1:12" x14ac:dyDescent="0.2">
      <c r="A1955" t="s">
        <v>6590</v>
      </c>
      <c r="B1955" t="s">
        <v>8347</v>
      </c>
      <c r="C1955" t="s">
        <v>1812</v>
      </c>
      <c r="E1955" t="s">
        <v>1329</v>
      </c>
      <c r="F1955">
        <v>3368</v>
      </c>
      <c r="G1955" t="s">
        <v>308</v>
      </c>
      <c r="H1955" t="s">
        <v>16</v>
      </c>
      <c r="I1955" t="s">
        <v>642</v>
      </c>
      <c r="J1955" t="s">
        <v>643</v>
      </c>
      <c r="K1955" t="s">
        <v>1809</v>
      </c>
      <c r="L1955" t="str">
        <f>HYPERLINK("https://business-monitor.ch/de/companies/224026-hugo-koelliker?utm_source=oberaargau","PROFIL ANSEHEN")</f>
        <v>PROFIL ANSEHEN</v>
      </c>
    </row>
    <row r="1956" spans="1:12" x14ac:dyDescent="0.2">
      <c r="A1956" t="s">
        <v>12417</v>
      </c>
      <c r="B1956" t="s">
        <v>12418</v>
      </c>
      <c r="C1956" t="s">
        <v>1812</v>
      </c>
      <c r="E1956" t="s">
        <v>12419</v>
      </c>
      <c r="F1956">
        <v>4900</v>
      </c>
      <c r="G1956" t="s">
        <v>41</v>
      </c>
      <c r="H1956" t="s">
        <v>16</v>
      </c>
      <c r="I1956" t="s">
        <v>642</v>
      </c>
      <c r="J1956" t="s">
        <v>643</v>
      </c>
      <c r="K1956" t="s">
        <v>1809</v>
      </c>
      <c r="L1956" t="str">
        <f>HYPERLINK("https://business-monitor.ch/de/companies/1198361-pj-customs-jeyakumar?utm_source=oberaargau","PROFIL ANSEHEN")</f>
        <v>PROFIL ANSEHEN</v>
      </c>
    </row>
    <row r="1957" spans="1:12" x14ac:dyDescent="0.2">
      <c r="A1957" t="s">
        <v>1867</v>
      </c>
      <c r="B1957" t="s">
        <v>1868</v>
      </c>
      <c r="C1957" t="s">
        <v>202</v>
      </c>
      <c r="D1957" t="s">
        <v>1869</v>
      </c>
      <c r="E1957" t="s">
        <v>1870</v>
      </c>
      <c r="F1957">
        <v>4900</v>
      </c>
      <c r="G1957" t="s">
        <v>41</v>
      </c>
      <c r="H1957" t="s">
        <v>16</v>
      </c>
      <c r="I1957" t="s">
        <v>4213</v>
      </c>
      <c r="J1957" t="s">
        <v>4214</v>
      </c>
      <c r="K1957" t="s">
        <v>1809</v>
      </c>
      <c r="L1957" t="str">
        <f>HYPERLINK("https://business-monitor.ch/de/companies/1020889-feinetexte-gmbh?utm_source=oberaargau","PROFIL ANSEHEN")</f>
        <v>PROFIL ANSEHEN</v>
      </c>
    </row>
    <row r="1958" spans="1:12" x14ac:dyDescent="0.2">
      <c r="A1958" t="s">
        <v>7173</v>
      </c>
      <c r="B1958" t="s">
        <v>7174</v>
      </c>
      <c r="C1958" t="s">
        <v>1812</v>
      </c>
      <c r="E1958" t="s">
        <v>7175</v>
      </c>
      <c r="F1958">
        <v>4955</v>
      </c>
      <c r="G1958" t="s">
        <v>684</v>
      </c>
      <c r="H1958" t="s">
        <v>16</v>
      </c>
      <c r="I1958" t="s">
        <v>24</v>
      </c>
      <c r="J1958" t="s">
        <v>25</v>
      </c>
      <c r="K1958" t="s">
        <v>1809</v>
      </c>
      <c r="L1958" t="str">
        <f>HYPERLINK("https://business-monitor.ch/de/companies/1005508-felder-consulting?utm_source=oberaargau","PROFIL ANSEHEN")</f>
        <v>PROFIL ANSEHEN</v>
      </c>
    </row>
    <row r="1959" spans="1:12" x14ac:dyDescent="0.2">
      <c r="A1959" t="s">
        <v>3878</v>
      </c>
      <c r="B1959" t="s">
        <v>3879</v>
      </c>
      <c r="C1959" t="s">
        <v>1812</v>
      </c>
      <c r="E1959" t="s">
        <v>3880</v>
      </c>
      <c r="F1959">
        <v>4900</v>
      </c>
      <c r="G1959" t="s">
        <v>41</v>
      </c>
      <c r="H1959" t="s">
        <v>16</v>
      </c>
      <c r="I1959" t="s">
        <v>2213</v>
      </c>
      <c r="J1959" t="s">
        <v>2214</v>
      </c>
      <c r="K1959" t="s">
        <v>1809</v>
      </c>
      <c r="L1959" t="str">
        <f>HYPERLINK("https://business-monitor.ch/de/companies/1015651-schwimmschule-susanne-waelchli?utm_source=oberaargau","PROFIL ANSEHEN")</f>
        <v>PROFIL ANSEHEN</v>
      </c>
    </row>
    <row r="1960" spans="1:12" x14ac:dyDescent="0.2">
      <c r="A1960" t="s">
        <v>7214</v>
      </c>
      <c r="B1960" t="s">
        <v>7215</v>
      </c>
      <c r="C1960" t="s">
        <v>2178</v>
      </c>
      <c r="E1960" t="s">
        <v>7216</v>
      </c>
      <c r="F1960">
        <v>4536</v>
      </c>
      <c r="G1960" t="s">
        <v>1395</v>
      </c>
      <c r="H1960" t="s">
        <v>16</v>
      </c>
      <c r="I1960" t="s">
        <v>3344</v>
      </c>
      <c r="J1960" t="s">
        <v>3345</v>
      </c>
      <c r="K1960" t="s">
        <v>1809</v>
      </c>
      <c r="L1960" t="str">
        <f>HYPERLINK("https://business-monitor.ch/de/companies/1034526-seniorendienste-schweiz-ag-zweigniederlassung-attiswil?utm_source=oberaargau","PROFIL ANSEHEN")</f>
        <v>PROFIL ANSEHEN</v>
      </c>
    </row>
    <row r="1961" spans="1:12" x14ac:dyDescent="0.2">
      <c r="A1961" t="s">
        <v>7296</v>
      </c>
      <c r="B1961" t="s">
        <v>7297</v>
      </c>
      <c r="C1961" t="s">
        <v>13</v>
      </c>
      <c r="E1961" t="s">
        <v>491</v>
      </c>
      <c r="F1961">
        <v>4900</v>
      </c>
      <c r="G1961" t="s">
        <v>41</v>
      </c>
      <c r="H1961" t="s">
        <v>16</v>
      </c>
      <c r="I1961" t="s">
        <v>77</v>
      </c>
      <c r="J1961" t="s">
        <v>78</v>
      </c>
      <c r="K1961" t="s">
        <v>1809</v>
      </c>
      <c r="L1961" t="str">
        <f>HYPERLINK("https://business-monitor.ch/de/companies/1008784-hasenfratz-strebel-generalunternehmung-ag?utm_source=oberaargau","PROFIL ANSEHEN")</f>
        <v>PROFIL ANSEHEN</v>
      </c>
    </row>
    <row r="1962" spans="1:12" x14ac:dyDescent="0.2">
      <c r="A1962" t="s">
        <v>3078</v>
      </c>
      <c r="B1962" t="s">
        <v>3079</v>
      </c>
      <c r="C1962" t="s">
        <v>202</v>
      </c>
      <c r="D1962" t="s">
        <v>3080</v>
      </c>
      <c r="E1962" t="s">
        <v>3081</v>
      </c>
      <c r="F1962">
        <v>4954</v>
      </c>
      <c r="G1962" t="s">
        <v>359</v>
      </c>
      <c r="H1962" t="s">
        <v>16</v>
      </c>
      <c r="I1962" t="s">
        <v>475</v>
      </c>
      <c r="J1962" t="s">
        <v>476</v>
      </c>
      <c r="K1962" t="s">
        <v>1809</v>
      </c>
      <c r="L1962" t="str">
        <f>HYPERLINK("https://business-monitor.ch/de/companies/333879-bha-lift-gmbh?utm_source=oberaargau","PROFIL ANSEHEN")</f>
        <v>PROFIL ANSEHEN</v>
      </c>
    </row>
    <row r="1963" spans="1:12" x14ac:dyDescent="0.2">
      <c r="A1963" t="s">
        <v>13617</v>
      </c>
      <c r="B1963" t="s">
        <v>13618</v>
      </c>
      <c r="C1963" t="s">
        <v>202</v>
      </c>
      <c r="E1963" t="s">
        <v>4262</v>
      </c>
      <c r="F1963">
        <v>4900</v>
      </c>
      <c r="G1963" t="s">
        <v>41</v>
      </c>
      <c r="H1963" t="s">
        <v>16</v>
      </c>
      <c r="I1963" t="s">
        <v>4213</v>
      </c>
      <c r="J1963" t="s">
        <v>4214</v>
      </c>
      <c r="K1963" t="s">
        <v>1809</v>
      </c>
      <c r="L1963" t="str">
        <f>HYPERLINK("https://business-monitor.ch/de/companies/1023398-bewerbung-mit-aussagekraft-gmbh?utm_source=oberaargau","PROFIL ANSEHEN")</f>
        <v>PROFIL ANSEHEN</v>
      </c>
    </row>
    <row r="1964" spans="1:12" x14ac:dyDescent="0.2">
      <c r="A1964" t="s">
        <v>7317</v>
      </c>
      <c r="B1964" t="s">
        <v>7318</v>
      </c>
      <c r="C1964" t="s">
        <v>1812</v>
      </c>
      <c r="E1964" t="s">
        <v>1366</v>
      </c>
      <c r="F1964">
        <v>3363</v>
      </c>
      <c r="G1964" t="s">
        <v>1367</v>
      </c>
      <c r="H1964" t="s">
        <v>16</v>
      </c>
      <c r="I1964" t="s">
        <v>6733</v>
      </c>
      <c r="J1964" t="s">
        <v>6734</v>
      </c>
      <c r="K1964" t="s">
        <v>1809</v>
      </c>
      <c r="L1964" t="str">
        <f>HYPERLINK("https://business-monitor.ch/de/companies/1003132-parastift-schoenberger?utm_source=oberaargau","PROFIL ANSEHEN")</f>
        <v>PROFIL ANSEHEN</v>
      </c>
    </row>
    <row r="1965" spans="1:12" x14ac:dyDescent="0.2">
      <c r="A1965" t="s">
        <v>14354</v>
      </c>
      <c r="B1965" t="s">
        <v>14355</v>
      </c>
      <c r="C1965" t="s">
        <v>1812</v>
      </c>
      <c r="E1965" t="s">
        <v>14356</v>
      </c>
      <c r="F1965">
        <v>4539</v>
      </c>
      <c r="G1965" t="s">
        <v>1134</v>
      </c>
      <c r="H1965" t="s">
        <v>16</v>
      </c>
      <c r="I1965" t="s">
        <v>1865</v>
      </c>
      <c r="J1965" t="s">
        <v>1866</v>
      </c>
      <c r="K1965" t="s">
        <v>1809</v>
      </c>
      <c r="L1965" t="str">
        <f>HYPERLINK("https://business-monitor.ch/de/companies/1003753-liegenschafts-und-gartenunterhalt-b-howald?utm_source=oberaargau","PROFIL ANSEHEN")</f>
        <v>PROFIL ANSEHEN</v>
      </c>
    </row>
    <row r="1966" spans="1:12" x14ac:dyDescent="0.2">
      <c r="A1966" t="s">
        <v>3236</v>
      </c>
      <c r="B1966" t="s">
        <v>3237</v>
      </c>
      <c r="C1966" t="s">
        <v>1922</v>
      </c>
      <c r="E1966" t="s">
        <v>3238</v>
      </c>
      <c r="F1966">
        <v>4950</v>
      </c>
      <c r="G1966" t="s">
        <v>15</v>
      </c>
      <c r="H1966" t="s">
        <v>16</v>
      </c>
      <c r="I1966" t="s">
        <v>2545</v>
      </c>
      <c r="J1966" t="s">
        <v>2546</v>
      </c>
      <c r="K1966" t="s">
        <v>1809</v>
      </c>
      <c r="L1966" t="str">
        <f>HYPERLINK("https://business-monitor.ch/de/companies/267512-stiftung-wohnheim-oepfuboeimli?utm_source=oberaargau","PROFIL ANSEHEN")</f>
        <v>PROFIL ANSEHEN</v>
      </c>
    </row>
    <row r="1967" spans="1:12" x14ac:dyDescent="0.2">
      <c r="A1967" t="s">
        <v>12104</v>
      </c>
      <c r="B1967" t="s">
        <v>12105</v>
      </c>
      <c r="C1967" t="s">
        <v>13</v>
      </c>
      <c r="E1967" t="s">
        <v>12106</v>
      </c>
      <c r="F1967">
        <v>4900</v>
      </c>
      <c r="G1967" t="s">
        <v>41</v>
      </c>
      <c r="H1967" t="s">
        <v>16</v>
      </c>
      <c r="I1967" t="s">
        <v>2226</v>
      </c>
      <c r="J1967" t="s">
        <v>2227</v>
      </c>
      <c r="K1967" t="s">
        <v>1809</v>
      </c>
      <c r="L1967" t="str">
        <f>HYPERLINK("https://business-monitor.ch/de/companies/1180190-physio-oberaargau-ag?utm_source=oberaargau","PROFIL ANSEHEN")</f>
        <v>PROFIL ANSEHEN</v>
      </c>
    </row>
    <row r="1968" spans="1:12" x14ac:dyDescent="0.2">
      <c r="A1968" t="s">
        <v>5172</v>
      </c>
      <c r="B1968" t="s">
        <v>13131</v>
      </c>
      <c r="C1968" t="s">
        <v>2178</v>
      </c>
      <c r="E1968" t="s">
        <v>1108</v>
      </c>
      <c r="F1968">
        <v>4900</v>
      </c>
      <c r="G1968" t="s">
        <v>41</v>
      </c>
      <c r="H1968" t="s">
        <v>16</v>
      </c>
      <c r="I1968" t="s">
        <v>2534</v>
      </c>
      <c r="J1968" t="s">
        <v>2535</v>
      </c>
      <c r="K1968" t="s">
        <v>1809</v>
      </c>
      <c r="L1968" t="str">
        <f>HYPERLINK("https://business-monitor.ch/de/companies/503413-dertour-suisse-ag-zweigniederlassung-kuoni-reisen-langenthal?utm_source=oberaargau","PROFIL ANSEHEN")</f>
        <v>PROFIL ANSEHEN</v>
      </c>
    </row>
    <row r="1969" spans="1:12" x14ac:dyDescent="0.2">
      <c r="A1969" t="s">
        <v>7035</v>
      </c>
      <c r="B1969" t="s">
        <v>7036</v>
      </c>
      <c r="C1969" t="s">
        <v>1812</v>
      </c>
      <c r="D1969" t="s">
        <v>7037</v>
      </c>
      <c r="E1969" t="s">
        <v>5095</v>
      </c>
      <c r="F1969">
        <v>4704</v>
      </c>
      <c r="G1969" t="s">
        <v>221</v>
      </c>
      <c r="H1969" t="s">
        <v>16</v>
      </c>
      <c r="I1969" t="s">
        <v>854</v>
      </c>
      <c r="J1969" t="s">
        <v>855</v>
      </c>
      <c r="K1969" t="s">
        <v>1809</v>
      </c>
      <c r="L1969" t="str">
        <f>HYPERLINK("https://business-monitor.ch/de/companies/1053140-adi-heutschi-webdesign?utm_source=oberaargau","PROFIL ANSEHEN")</f>
        <v>PROFIL ANSEHEN</v>
      </c>
    </row>
    <row r="1970" spans="1:12" x14ac:dyDescent="0.2">
      <c r="A1970" t="s">
        <v>3133</v>
      </c>
      <c r="B1970" t="s">
        <v>3134</v>
      </c>
      <c r="C1970" t="s">
        <v>202</v>
      </c>
      <c r="E1970" t="s">
        <v>3135</v>
      </c>
      <c r="F1970">
        <v>4923</v>
      </c>
      <c r="G1970" t="s">
        <v>732</v>
      </c>
      <c r="H1970" t="s">
        <v>16</v>
      </c>
      <c r="I1970" t="s">
        <v>642</v>
      </c>
      <c r="J1970" t="s">
        <v>643</v>
      </c>
      <c r="K1970" t="s">
        <v>1809</v>
      </c>
      <c r="L1970" t="str">
        <f>HYPERLINK("https://business-monitor.ch/de/companies/313385-garage-useini-gmbh?utm_source=oberaargau","PROFIL ANSEHEN")</f>
        <v>PROFIL ANSEHEN</v>
      </c>
    </row>
    <row r="1971" spans="1:12" x14ac:dyDescent="0.2">
      <c r="A1971" t="s">
        <v>4574</v>
      </c>
      <c r="B1971" t="s">
        <v>4575</v>
      </c>
      <c r="C1971" t="s">
        <v>1812</v>
      </c>
      <c r="E1971" t="s">
        <v>4576</v>
      </c>
      <c r="F1971">
        <v>3362</v>
      </c>
      <c r="G1971" t="s">
        <v>47</v>
      </c>
      <c r="H1971" t="s">
        <v>16</v>
      </c>
      <c r="I1971" t="s">
        <v>693</v>
      </c>
      <c r="J1971" t="s">
        <v>694</v>
      </c>
      <c r="K1971" t="s">
        <v>1809</v>
      </c>
      <c r="L1971" t="str">
        <f>HYPERLINK("https://business-monitor.ch/de/companies/653168-multi-service-grafische-maschinen-produkte-w-moor?utm_source=oberaargau","PROFIL ANSEHEN")</f>
        <v>PROFIL ANSEHEN</v>
      </c>
    </row>
    <row r="1972" spans="1:12" x14ac:dyDescent="0.2">
      <c r="A1972" t="s">
        <v>8432</v>
      </c>
      <c r="B1972" t="s">
        <v>8433</v>
      </c>
      <c r="C1972" t="s">
        <v>1827</v>
      </c>
      <c r="E1972" t="s">
        <v>8434</v>
      </c>
      <c r="F1972">
        <v>3360</v>
      </c>
      <c r="G1972" t="s">
        <v>35</v>
      </c>
      <c r="H1972" t="s">
        <v>16</v>
      </c>
      <c r="I1972" t="s">
        <v>1841</v>
      </c>
      <c r="J1972" t="s">
        <v>1842</v>
      </c>
      <c r="K1972" t="s">
        <v>1809</v>
      </c>
      <c r="L1972" t="str">
        <f>HYPERLINK("https://business-monitor.ch/de/companies/1081319-praxis-fuer-naturmedizin-klg?utm_source=oberaargau","PROFIL ANSEHEN")</f>
        <v>PROFIL ANSEHEN</v>
      </c>
    </row>
    <row r="1973" spans="1:12" x14ac:dyDescent="0.2">
      <c r="A1973" t="s">
        <v>8090</v>
      </c>
      <c r="B1973" t="s">
        <v>8091</v>
      </c>
      <c r="C1973" t="s">
        <v>1812</v>
      </c>
      <c r="E1973" t="s">
        <v>8092</v>
      </c>
      <c r="F1973">
        <v>4900</v>
      </c>
      <c r="G1973" t="s">
        <v>41</v>
      </c>
      <c r="H1973" t="s">
        <v>16</v>
      </c>
      <c r="I1973" t="s">
        <v>464</v>
      </c>
      <c r="J1973" t="s">
        <v>465</v>
      </c>
      <c r="K1973" t="s">
        <v>1809</v>
      </c>
      <c r="L1973" t="str">
        <f>HYPERLINK("https://business-monitor.ch/de/companies/1068819-pota-dominicana-inh-pop?utm_source=oberaargau","PROFIL ANSEHEN")</f>
        <v>PROFIL ANSEHEN</v>
      </c>
    </row>
    <row r="1974" spans="1:12" x14ac:dyDescent="0.2">
      <c r="A1974" t="s">
        <v>3956</v>
      </c>
      <c r="B1974" t="s">
        <v>3957</v>
      </c>
      <c r="C1974" t="s">
        <v>1812</v>
      </c>
      <c r="E1974" t="s">
        <v>3958</v>
      </c>
      <c r="F1974">
        <v>4922</v>
      </c>
      <c r="G1974" t="s">
        <v>1318</v>
      </c>
      <c r="H1974" t="s">
        <v>16</v>
      </c>
      <c r="I1974" t="s">
        <v>2748</v>
      </c>
      <c r="J1974" t="s">
        <v>2749</v>
      </c>
      <c r="K1974" t="s">
        <v>1809</v>
      </c>
      <c r="L1974" t="str">
        <f>HYPERLINK("https://business-monitor.ch/de/companies/1052571-winecoach-simon-hess?utm_source=oberaargau","PROFIL ANSEHEN")</f>
        <v>PROFIL ANSEHEN</v>
      </c>
    </row>
    <row r="1975" spans="1:12" x14ac:dyDescent="0.2">
      <c r="A1975" t="s">
        <v>7855</v>
      </c>
      <c r="B1975" t="s">
        <v>7856</v>
      </c>
      <c r="C1975" t="s">
        <v>1812</v>
      </c>
      <c r="E1975" t="s">
        <v>7857</v>
      </c>
      <c r="F1975">
        <v>4914</v>
      </c>
      <c r="G1975" t="s">
        <v>105</v>
      </c>
      <c r="H1975" t="s">
        <v>16</v>
      </c>
      <c r="I1975" t="s">
        <v>1865</v>
      </c>
      <c r="J1975" t="s">
        <v>1866</v>
      </c>
      <c r="K1975" t="s">
        <v>1809</v>
      </c>
      <c r="L1975" t="str">
        <f>HYPERLINK("https://business-monitor.ch/de/companies/1066602-facility-service-leuthold?utm_source=oberaargau","PROFIL ANSEHEN")</f>
        <v>PROFIL ANSEHEN</v>
      </c>
    </row>
    <row r="1976" spans="1:12" x14ac:dyDescent="0.2">
      <c r="A1976" t="s">
        <v>3292</v>
      </c>
      <c r="B1976" t="s">
        <v>3293</v>
      </c>
      <c r="C1976" t="s">
        <v>1812</v>
      </c>
      <c r="E1976" t="s">
        <v>3118</v>
      </c>
      <c r="F1976">
        <v>4914</v>
      </c>
      <c r="G1976" t="s">
        <v>717</v>
      </c>
      <c r="H1976" t="s">
        <v>16</v>
      </c>
      <c r="I1976" t="s">
        <v>260</v>
      </c>
      <c r="J1976" t="s">
        <v>261</v>
      </c>
      <c r="K1976" t="s">
        <v>1809</v>
      </c>
      <c r="L1976" t="str">
        <f>HYPERLINK("https://business-monitor.ch/de/companies/244889-martin-siegenthaler-dipl-architekt-eth-sia?utm_source=oberaargau","PROFIL ANSEHEN")</f>
        <v>PROFIL ANSEHEN</v>
      </c>
    </row>
    <row r="1977" spans="1:12" x14ac:dyDescent="0.2">
      <c r="A1977" t="s">
        <v>8969</v>
      </c>
      <c r="B1977" t="s">
        <v>8970</v>
      </c>
      <c r="C1977" t="s">
        <v>1922</v>
      </c>
      <c r="E1977" t="s">
        <v>174</v>
      </c>
      <c r="F1977">
        <v>4900</v>
      </c>
      <c r="G1977" t="s">
        <v>41</v>
      </c>
      <c r="H1977" t="s">
        <v>16</v>
      </c>
      <c r="I1977" t="s">
        <v>2116</v>
      </c>
      <c r="J1977" t="s">
        <v>2117</v>
      </c>
      <c r="K1977" t="s">
        <v>1809</v>
      </c>
      <c r="L1977" t="str">
        <f>HYPERLINK("https://business-monitor.ch/de/companies/254461-personalfuersorgestiftung-der-calag-carrosserie-langenthal-ag?utm_source=oberaargau","PROFIL ANSEHEN")</f>
        <v>PROFIL ANSEHEN</v>
      </c>
    </row>
    <row r="1978" spans="1:12" x14ac:dyDescent="0.2">
      <c r="A1978" t="s">
        <v>8942</v>
      </c>
      <c r="B1978" t="s">
        <v>8943</v>
      </c>
      <c r="C1978" t="s">
        <v>1812</v>
      </c>
      <c r="E1978" t="s">
        <v>8944</v>
      </c>
      <c r="F1978">
        <v>4537</v>
      </c>
      <c r="G1978" t="s">
        <v>113</v>
      </c>
      <c r="H1978" t="s">
        <v>16</v>
      </c>
      <c r="I1978" t="s">
        <v>4277</v>
      </c>
      <c r="J1978" t="s">
        <v>4278</v>
      </c>
      <c r="K1978" t="s">
        <v>1809</v>
      </c>
      <c r="L1978" t="str">
        <f>HYPERLINK("https://business-monitor.ch/de/companies/264547-dennler-bau-holz?utm_source=oberaargau","PROFIL ANSEHEN")</f>
        <v>PROFIL ANSEHEN</v>
      </c>
    </row>
    <row r="1979" spans="1:12" x14ac:dyDescent="0.2">
      <c r="A1979" t="s">
        <v>8899</v>
      </c>
      <c r="B1979" t="s">
        <v>8900</v>
      </c>
      <c r="C1979" t="s">
        <v>1812</v>
      </c>
      <c r="E1979" t="s">
        <v>5830</v>
      </c>
      <c r="F1979">
        <v>3360</v>
      </c>
      <c r="G1979" t="s">
        <v>35</v>
      </c>
      <c r="H1979" t="s">
        <v>16</v>
      </c>
      <c r="I1979" t="s">
        <v>8901</v>
      </c>
      <c r="J1979" t="s">
        <v>8902</v>
      </c>
      <c r="K1979" t="s">
        <v>1809</v>
      </c>
      <c r="L1979" t="str">
        <f>HYPERLINK("https://business-monitor.ch/de/companies/293901-john-prince?utm_source=oberaargau","PROFIL ANSEHEN")</f>
        <v>PROFIL ANSEHEN</v>
      </c>
    </row>
    <row r="1980" spans="1:12" x14ac:dyDescent="0.2">
      <c r="A1980" t="s">
        <v>3167</v>
      </c>
      <c r="B1980" t="s">
        <v>3168</v>
      </c>
      <c r="C1980" t="s">
        <v>1812</v>
      </c>
      <c r="E1980" t="s">
        <v>3169</v>
      </c>
      <c r="F1980">
        <v>4536</v>
      </c>
      <c r="G1980" t="s">
        <v>1395</v>
      </c>
      <c r="H1980" t="s">
        <v>16</v>
      </c>
      <c r="I1980" t="s">
        <v>624</v>
      </c>
      <c r="J1980" t="s">
        <v>625</v>
      </c>
      <c r="K1980" t="s">
        <v>1809</v>
      </c>
      <c r="L1980" t="str">
        <f>HYPERLINK("https://business-monitor.ch/de/companies/299199-hohl-holzbau?utm_source=oberaargau","PROFIL ANSEHEN")</f>
        <v>PROFIL ANSEHEN</v>
      </c>
    </row>
    <row r="1981" spans="1:12" x14ac:dyDescent="0.2">
      <c r="A1981" t="s">
        <v>11145</v>
      </c>
      <c r="B1981" t="s">
        <v>13830</v>
      </c>
      <c r="C1981" t="s">
        <v>2178</v>
      </c>
      <c r="E1981" t="s">
        <v>11146</v>
      </c>
      <c r="F1981">
        <v>4954</v>
      </c>
      <c r="G1981" t="s">
        <v>359</v>
      </c>
      <c r="H1981" t="s">
        <v>16</v>
      </c>
      <c r="I1981" t="s">
        <v>8361</v>
      </c>
      <c r="J1981" t="s">
        <v>8362</v>
      </c>
      <c r="K1981" t="s">
        <v>1809</v>
      </c>
      <c r="L1981" t="str">
        <f>HYPERLINK("https://business-monitor.ch/de/companies/1114515-schaerer-dienstleistungs-und-handels-gmbh-in-liquidation?utm_source=oberaargau","PROFIL ANSEHEN")</f>
        <v>PROFIL ANSEHEN</v>
      </c>
    </row>
    <row r="1982" spans="1:12" x14ac:dyDescent="0.2">
      <c r="A1982" t="s">
        <v>5058</v>
      </c>
      <c r="B1982" t="s">
        <v>5059</v>
      </c>
      <c r="C1982" t="s">
        <v>1812</v>
      </c>
      <c r="E1982" t="s">
        <v>5060</v>
      </c>
      <c r="F1982">
        <v>3360</v>
      </c>
      <c r="G1982" t="s">
        <v>35</v>
      </c>
      <c r="H1982" t="s">
        <v>16</v>
      </c>
      <c r="I1982" t="s">
        <v>12632</v>
      </c>
      <c r="J1982" t="s">
        <v>12633</v>
      </c>
      <c r="K1982" t="s">
        <v>1809</v>
      </c>
      <c r="L1982" t="str">
        <f>HYPERLINK("https://business-monitor.ch/de/companies/1089933-elektro-lechthaler?utm_source=oberaargau","PROFIL ANSEHEN")</f>
        <v>PROFIL ANSEHEN</v>
      </c>
    </row>
    <row r="1983" spans="1:12" x14ac:dyDescent="0.2">
      <c r="A1983" t="s">
        <v>10955</v>
      </c>
      <c r="B1983" t="s">
        <v>10956</v>
      </c>
      <c r="C1983" t="s">
        <v>1922</v>
      </c>
      <c r="E1983" t="s">
        <v>10957</v>
      </c>
      <c r="F1983">
        <v>4912</v>
      </c>
      <c r="G1983" t="s">
        <v>64</v>
      </c>
      <c r="H1983" t="s">
        <v>16</v>
      </c>
      <c r="I1983" t="s">
        <v>6415</v>
      </c>
      <c r="J1983" t="s">
        <v>6416</v>
      </c>
      <c r="K1983" t="s">
        <v>1809</v>
      </c>
      <c r="L1983" t="str">
        <f>HYPERLINK("https://business-monitor.ch/de/companies/1104287-stiftung-schloss-aarwangen?utm_source=oberaargau","PROFIL ANSEHEN")</f>
        <v>PROFIL ANSEHEN</v>
      </c>
    </row>
    <row r="1984" spans="1:12" x14ac:dyDescent="0.2">
      <c r="A1984" t="s">
        <v>11474</v>
      </c>
      <c r="B1984" t="s">
        <v>11475</v>
      </c>
      <c r="C1984" t="s">
        <v>1812</v>
      </c>
      <c r="E1984" t="s">
        <v>11476</v>
      </c>
      <c r="F1984">
        <v>4950</v>
      </c>
      <c r="G1984" t="s">
        <v>15</v>
      </c>
      <c r="H1984" t="s">
        <v>16</v>
      </c>
      <c r="I1984" t="s">
        <v>824</v>
      </c>
      <c r="J1984" t="s">
        <v>825</v>
      </c>
      <c r="K1984" t="s">
        <v>1809</v>
      </c>
      <c r="L1984" t="str">
        <f>HYPERLINK("https://business-monitor.ch/de/companies/1146627-staedtli-kebap-und-pizza-farhad?utm_source=oberaargau","PROFIL ANSEHEN")</f>
        <v>PROFIL ANSEHEN</v>
      </c>
    </row>
    <row r="1985" spans="1:12" x14ac:dyDescent="0.2">
      <c r="A1985" t="s">
        <v>3159</v>
      </c>
      <c r="B1985" t="s">
        <v>3160</v>
      </c>
      <c r="C1985" t="s">
        <v>1812</v>
      </c>
      <c r="E1985" t="s">
        <v>996</v>
      </c>
      <c r="F1985">
        <v>4934</v>
      </c>
      <c r="G1985" t="s">
        <v>670</v>
      </c>
      <c r="H1985" t="s">
        <v>16</v>
      </c>
      <c r="I1985" t="s">
        <v>824</v>
      </c>
      <c r="J1985" t="s">
        <v>825</v>
      </c>
      <c r="K1985" t="s">
        <v>1809</v>
      </c>
      <c r="L1985" t="str">
        <f>HYPERLINK("https://business-monitor.ch/de/companies/305320-nyffeler-stefan?utm_source=oberaargau","PROFIL ANSEHEN")</f>
        <v>PROFIL ANSEHEN</v>
      </c>
    </row>
    <row r="1986" spans="1:12" x14ac:dyDescent="0.2">
      <c r="A1986" t="s">
        <v>6343</v>
      </c>
      <c r="B1986" t="s">
        <v>6344</v>
      </c>
      <c r="C1986" t="s">
        <v>202</v>
      </c>
      <c r="E1986" t="s">
        <v>6345</v>
      </c>
      <c r="F1986">
        <v>3475</v>
      </c>
      <c r="G1986" t="s">
        <v>965</v>
      </c>
      <c r="H1986" t="s">
        <v>16</v>
      </c>
      <c r="I1986" t="s">
        <v>335</v>
      </c>
      <c r="J1986" t="s">
        <v>336</v>
      </c>
      <c r="K1986" t="s">
        <v>1809</v>
      </c>
      <c r="L1986" t="str">
        <f>HYPERLINK("https://business-monitor.ch/de/companies/323090-isitone-gmbh?utm_source=oberaargau","PROFIL ANSEHEN")</f>
        <v>PROFIL ANSEHEN</v>
      </c>
    </row>
    <row r="1987" spans="1:12" x14ac:dyDescent="0.2">
      <c r="A1987" t="s">
        <v>3041</v>
      </c>
      <c r="B1987" t="s">
        <v>3042</v>
      </c>
      <c r="C1987" t="s">
        <v>202</v>
      </c>
      <c r="E1987" t="s">
        <v>3043</v>
      </c>
      <c r="F1987">
        <v>3380</v>
      </c>
      <c r="G1987" t="s">
        <v>29</v>
      </c>
      <c r="H1987" t="s">
        <v>16</v>
      </c>
      <c r="I1987" t="s">
        <v>824</v>
      </c>
      <c r="J1987" t="s">
        <v>825</v>
      </c>
      <c r="K1987" t="s">
        <v>1809</v>
      </c>
      <c r="L1987" t="str">
        <f>HYPERLINK("https://business-monitor.ch/de/companies/351484-staedtli-food-gmbh?utm_source=oberaargau","PROFIL ANSEHEN")</f>
        <v>PROFIL ANSEHEN</v>
      </c>
    </row>
    <row r="1988" spans="1:12" x14ac:dyDescent="0.2">
      <c r="A1988" t="s">
        <v>11193</v>
      </c>
      <c r="B1988" t="s">
        <v>11194</v>
      </c>
      <c r="C1988" t="s">
        <v>1812</v>
      </c>
      <c r="E1988" t="s">
        <v>1897</v>
      </c>
      <c r="F1988">
        <v>4704</v>
      </c>
      <c r="G1988" t="s">
        <v>221</v>
      </c>
      <c r="H1988" t="s">
        <v>16</v>
      </c>
      <c r="I1988" t="s">
        <v>565</v>
      </c>
      <c r="J1988" t="s">
        <v>566</v>
      </c>
      <c r="K1988" t="s">
        <v>1809</v>
      </c>
      <c r="L1988" t="str">
        <f>HYPERLINK("https://business-monitor.ch/de/companies/1136948-bipper-beck-inh-strub-michel?utm_source=oberaargau","PROFIL ANSEHEN")</f>
        <v>PROFIL ANSEHEN</v>
      </c>
    </row>
    <row r="1989" spans="1:12" x14ac:dyDescent="0.2">
      <c r="A1989" t="s">
        <v>11491</v>
      </c>
      <c r="B1989" t="s">
        <v>11492</v>
      </c>
      <c r="C1989" t="s">
        <v>1812</v>
      </c>
      <c r="E1989" t="s">
        <v>5180</v>
      </c>
      <c r="F1989">
        <v>4538</v>
      </c>
      <c r="G1989" t="s">
        <v>71</v>
      </c>
      <c r="H1989" t="s">
        <v>16</v>
      </c>
      <c r="I1989" t="s">
        <v>1860</v>
      </c>
      <c r="J1989" t="s">
        <v>1861</v>
      </c>
      <c r="K1989" t="s">
        <v>1809</v>
      </c>
      <c r="L1989" t="str">
        <f>HYPERLINK("https://business-monitor.ch/de/companies/1144907-coiffure-hairdream-simon?utm_source=oberaargau","PROFIL ANSEHEN")</f>
        <v>PROFIL ANSEHEN</v>
      </c>
    </row>
    <row r="1990" spans="1:12" x14ac:dyDescent="0.2">
      <c r="A1990" t="s">
        <v>11018</v>
      </c>
      <c r="B1990" t="s">
        <v>11019</v>
      </c>
      <c r="C1990" t="s">
        <v>1827</v>
      </c>
      <c r="E1990" t="s">
        <v>11020</v>
      </c>
      <c r="F1990">
        <v>4704</v>
      </c>
      <c r="G1990" t="s">
        <v>3142</v>
      </c>
      <c r="H1990" t="s">
        <v>16</v>
      </c>
      <c r="I1990" t="s">
        <v>824</v>
      </c>
      <c r="J1990" t="s">
        <v>825</v>
      </c>
      <c r="K1990" t="s">
        <v>1809</v>
      </c>
      <c r="L1990" t="str">
        <f>HYPERLINK("https://business-monitor.ch/de/companies/1112212-bergrestaurant-buechmatt-klg?utm_source=oberaargau","PROFIL ANSEHEN")</f>
        <v>PROFIL ANSEHEN</v>
      </c>
    </row>
    <row r="1991" spans="1:12" x14ac:dyDescent="0.2">
      <c r="A1991" t="s">
        <v>6175</v>
      </c>
      <c r="B1991" t="s">
        <v>6176</v>
      </c>
      <c r="C1991" t="s">
        <v>202</v>
      </c>
      <c r="E1991" t="s">
        <v>6177</v>
      </c>
      <c r="F1991">
        <v>4937</v>
      </c>
      <c r="G1991" t="s">
        <v>951</v>
      </c>
      <c r="H1991" t="s">
        <v>16</v>
      </c>
      <c r="I1991" t="s">
        <v>1470</v>
      </c>
      <c r="J1991" t="s">
        <v>1471</v>
      </c>
      <c r="K1991" t="s">
        <v>1809</v>
      </c>
      <c r="L1991" t="str">
        <f>HYPERLINK("https://business-monitor.ch/de/companies/382652-daniel-ruefenacht-haustechnik-gmbh?utm_source=oberaargau","PROFIL ANSEHEN")</f>
        <v>PROFIL ANSEHEN</v>
      </c>
    </row>
    <row r="1992" spans="1:12" x14ac:dyDescent="0.2">
      <c r="A1992" t="s">
        <v>12138</v>
      </c>
      <c r="B1992" t="s">
        <v>12139</v>
      </c>
      <c r="C1992" t="s">
        <v>1812</v>
      </c>
      <c r="E1992" t="s">
        <v>12140</v>
      </c>
      <c r="F1992">
        <v>4900</v>
      </c>
      <c r="G1992" t="s">
        <v>41</v>
      </c>
      <c r="H1992" t="s">
        <v>16</v>
      </c>
      <c r="I1992" t="s">
        <v>433</v>
      </c>
      <c r="J1992" t="s">
        <v>434</v>
      </c>
      <c r="K1992" t="s">
        <v>1809</v>
      </c>
      <c r="L1992" t="str">
        <f>HYPERLINK("https://business-monitor.ch/de/companies/1182030-nandotainment-oberli?utm_source=oberaargau","PROFIL ANSEHEN")</f>
        <v>PROFIL ANSEHEN</v>
      </c>
    </row>
    <row r="1993" spans="1:12" x14ac:dyDescent="0.2">
      <c r="A1993" t="s">
        <v>6078</v>
      </c>
      <c r="B1993" t="s">
        <v>6079</v>
      </c>
      <c r="C1993" t="s">
        <v>13</v>
      </c>
      <c r="E1993" t="s">
        <v>6080</v>
      </c>
      <c r="F1993">
        <v>4537</v>
      </c>
      <c r="G1993" t="s">
        <v>113</v>
      </c>
      <c r="H1993" t="s">
        <v>16</v>
      </c>
      <c r="I1993" t="s">
        <v>718</v>
      </c>
      <c r="J1993" t="s">
        <v>719</v>
      </c>
      <c r="K1993" t="s">
        <v>1809</v>
      </c>
      <c r="L1993" t="str">
        <f>HYPERLINK("https://business-monitor.ch/de/companies/412487-g-kopp-wiedlisbach-ag?utm_source=oberaargau","PROFIL ANSEHEN")</f>
        <v>PROFIL ANSEHEN</v>
      </c>
    </row>
    <row r="1994" spans="1:12" x14ac:dyDescent="0.2">
      <c r="A1994" t="s">
        <v>7942</v>
      </c>
      <c r="B1994" t="s">
        <v>7943</v>
      </c>
      <c r="C1994" t="s">
        <v>13</v>
      </c>
      <c r="D1994" t="s">
        <v>7944</v>
      </c>
      <c r="E1994" t="s">
        <v>7945</v>
      </c>
      <c r="F1994">
        <v>3365</v>
      </c>
      <c r="G1994" t="s">
        <v>1008</v>
      </c>
      <c r="H1994" t="s">
        <v>16</v>
      </c>
      <c r="I1994" t="s">
        <v>935</v>
      </c>
      <c r="J1994" t="s">
        <v>936</v>
      </c>
      <c r="K1994" t="s">
        <v>1809</v>
      </c>
      <c r="L1994" t="str">
        <f>HYPERLINK("https://business-monitor.ch/de/companies/412985-suisse-immobilien-ag?utm_source=oberaargau","PROFIL ANSEHEN")</f>
        <v>PROFIL ANSEHEN</v>
      </c>
    </row>
    <row r="1995" spans="1:12" x14ac:dyDescent="0.2">
      <c r="A1995" t="s">
        <v>2866</v>
      </c>
      <c r="B1995" t="s">
        <v>10972</v>
      </c>
      <c r="C1995" t="s">
        <v>202</v>
      </c>
      <c r="E1995" t="s">
        <v>4144</v>
      </c>
      <c r="F1995">
        <v>4704</v>
      </c>
      <c r="G1995" t="s">
        <v>221</v>
      </c>
      <c r="H1995" t="s">
        <v>16</v>
      </c>
      <c r="I1995" t="s">
        <v>2496</v>
      </c>
      <c r="J1995" t="s">
        <v>2497</v>
      </c>
      <c r="K1995" t="s">
        <v>1809</v>
      </c>
      <c r="L1995" t="str">
        <f>HYPERLINK("https://business-monitor.ch/de/companies/420310-putztueuefeli-hostettler-gmbh?utm_source=oberaargau","PROFIL ANSEHEN")</f>
        <v>PROFIL ANSEHEN</v>
      </c>
    </row>
    <row r="1996" spans="1:12" x14ac:dyDescent="0.2">
      <c r="A1996" t="s">
        <v>12080</v>
      </c>
      <c r="B1996" t="s">
        <v>12081</v>
      </c>
      <c r="C1996" t="s">
        <v>1812</v>
      </c>
      <c r="E1996" t="s">
        <v>13693</v>
      </c>
      <c r="F1996">
        <v>3380</v>
      </c>
      <c r="G1996" t="s">
        <v>29</v>
      </c>
      <c r="H1996" t="s">
        <v>16</v>
      </c>
      <c r="I1996" t="s">
        <v>24</v>
      </c>
      <c r="J1996" t="s">
        <v>25</v>
      </c>
      <c r="K1996" t="s">
        <v>1809</v>
      </c>
      <c r="L1996" t="str">
        <f>HYPERLINK("https://business-monitor.ch/de/companies/1178085-eleven-it-ruedi-eichelberger?utm_source=oberaargau","PROFIL ANSEHEN")</f>
        <v>PROFIL ANSEHEN</v>
      </c>
    </row>
    <row r="1997" spans="1:12" x14ac:dyDescent="0.2">
      <c r="A1997" t="s">
        <v>11991</v>
      </c>
      <c r="B1997" t="s">
        <v>11992</v>
      </c>
      <c r="C1997" t="s">
        <v>2178</v>
      </c>
      <c r="E1997" t="s">
        <v>2925</v>
      </c>
      <c r="F1997">
        <v>4922</v>
      </c>
      <c r="G1997" t="s">
        <v>99</v>
      </c>
      <c r="H1997" t="s">
        <v>16</v>
      </c>
      <c r="I1997" t="s">
        <v>1324</v>
      </c>
      <c r="J1997" t="s">
        <v>1325</v>
      </c>
      <c r="K1997" t="s">
        <v>1809</v>
      </c>
      <c r="L1997" t="str">
        <f>HYPERLINK("https://business-monitor.ch/de/companies/1169343-elireg-sagl?utm_source=oberaargau","PROFIL ANSEHEN")</f>
        <v>PROFIL ANSEHEN</v>
      </c>
    </row>
    <row r="1998" spans="1:12" x14ac:dyDescent="0.2">
      <c r="A1998" t="s">
        <v>11685</v>
      </c>
      <c r="B1998" t="s">
        <v>11686</v>
      </c>
      <c r="C1998" t="s">
        <v>202</v>
      </c>
      <c r="D1998" t="s">
        <v>11687</v>
      </c>
      <c r="E1998" t="s">
        <v>11688</v>
      </c>
      <c r="F1998">
        <v>3360</v>
      </c>
      <c r="G1998" t="s">
        <v>35</v>
      </c>
      <c r="H1998" t="s">
        <v>16</v>
      </c>
      <c r="I1998" t="s">
        <v>153</v>
      </c>
      <c r="J1998" t="s">
        <v>154</v>
      </c>
      <c r="K1998" t="s">
        <v>1809</v>
      </c>
      <c r="L1998" t="str">
        <f>HYPERLINK("https://business-monitor.ch/de/companies/1157105-fms-solutions-gmbh?utm_source=oberaargau","PROFIL ANSEHEN")</f>
        <v>PROFIL ANSEHEN</v>
      </c>
    </row>
    <row r="1999" spans="1:12" x14ac:dyDescent="0.2">
      <c r="A1999" t="s">
        <v>12267</v>
      </c>
      <c r="B1999" t="s">
        <v>12268</v>
      </c>
      <c r="C1999" t="s">
        <v>13</v>
      </c>
      <c r="E1999" t="s">
        <v>8222</v>
      </c>
      <c r="F1999">
        <v>4950</v>
      </c>
      <c r="G1999" t="s">
        <v>15</v>
      </c>
      <c r="H1999" t="s">
        <v>16</v>
      </c>
      <c r="I1999" t="s">
        <v>59</v>
      </c>
      <c r="J1999" t="s">
        <v>60</v>
      </c>
      <c r="K1999" t="s">
        <v>1809</v>
      </c>
      <c r="L1999" t="str">
        <f>HYPERLINK("https://business-monitor.ch/de/companies/1193171-graedel-gastro-ag?utm_source=oberaargau","PROFIL ANSEHEN")</f>
        <v>PROFIL ANSEHEN</v>
      </c>
    </row>
    <row r="2000" spans="1:12" x14ac:dyDescent="0.2">
      <c r="A2000" t="s">
        <v>14193</v>
      </c>
      <c r="B2000" t="s">
        <v>14194</v>
      </c>
      <c r="C2000" t="s">
        <v>13</v>
      </c>
      <c r="E2000" t="s">
        <v>4833</v>
      </c>
      <c r="F2000">
        <v>3360</v>
      </c>
      <c r="G2000" t="s">
        <v>35</v>
      </c>
      <c r="H2000" t="s">
        <v>16</v>
      </c>
      <c r="I2000" t="s">
        <v>1970</v>
      </c>
      <c r="J2000" t="s">
        <v>1971</v>
      </c>
      <c r="K2000" t="s">
        <v>1809</v>
      </c>
      <c r="L2000" t="str">
        <f>HYPERLINK("https://business-monitor.ch/de/companies/1186812-tavive-ag?utm_source=oberaargau","PROFIL ANSEHEN")</f>
        <v>PROFIL ANSEHEN</v>
      </c>
    </row>
    <row r="2001" spans="1:12" x14ac:dyDescent="0.2">
      <c r="A2001" t="s">
        <v>11873</v>
      </c>
      <c r="B2001" t="s">
        <v>11874</v>
      </c>
      <c r="C2001" t="s">
        <v>1812</v>
      </c>
      <c r="E2001" t="s">
        <v>11875</v>
      </c>
      <c r="F2001">
        <v>4937</v>
      </c>
      <c r="G2001" t="s">
        <v>951</v>
      </c>
      <c r="H2001" t="s">
        <v>16</v>
      </c>
      <c r="I2001" t="s">
        <v>1409</v>
      </c>
      <c r="J2001" t="s">
        <v>1410</v>
      </c>
      <c r="K2001" t="s">
        <v>1809</v>
      </c>
      <c r="L2001" t="str">
        <f>HYPERLINK("https://business-monitor.ch/de/companies/1175941-kaeserei-ursenbach-inh-thoma?utm_source=oberaargau","PROFIL ANSEHEN")</f>
        <v>PROFIL ANSEHEN</v>
      </c>
    </row>
    <row r="2002" spans="1:12" x14ac:dyDescent="0.2">
      <c r="A2002" t="s">
        <v>5954</v>
      </c>
      <c r="B2002" t="s">
        <v>5955</v>
      </c>
      <c r="C2002" t="s">
        <v>202</v>
      </c>
      <c r="E2002" t="s">
        <v>4426</v>
      </c>
      <c r="F2002">
        <v>4923</v>
      </c>
      <c r="G2002" t="s">
        <v>732</v>
      </c>
      <c r="H2002" t="s">
        <v>16</v>
      </c>
      <c r="I2002" t="s">
        <v>5956</v>
      </c>
      <c r="J2002" t="s">
        <v>5957</v>
      </c>
      <c r="K2002" t="s">
        <v>1809</v>
      </c>
      <c r="L2002" t="str">
        <f>HYPERLINK("https://business-monitor.ch/de/companies/471595-nirvel-swiss-gmbh?utm_source=oberaargau","PROFIL ANSEHEN")</f>
        <v>PROFIL ANSEHEN</v>
      </c>
    </row>
    <row r="2003" spans="1:12" x14ac:dyDescent="0.2">
      <c r="A2003" t="s">
        <v>6605</v>
      </c>
      <c r="B2003" t="s">
        <v>6606</v>
      </c>
      <c r="C2003" t="s">
        <v>1812</v>
      </c>
      <c r="E2003" t="s">
        <v>6607</v>
      </c>
      <c r="F2003">
        <v>4938</v>
      </c>
      <c r="G2003" t="s">
        <v>618</v>
      </c>
      <c r="H2003" t="s">
        <v>16</v>
      </c>
      <c r="I2003" t="s">
        <v>1860</v>
      </c>
      <c r="J2003" t="s">
        <v>1861</v>
      </c>
      <c r="K2003" t="s">
        <v>1809</v>
      </c>
      <c r="L2003" t="str">
        <f>HYPERLINK("https://business-monitor.ch/de/companies/204589-bernhard-jost?utm_source=oberaargau","PROFIL ANSEHEN")</f>
        <v>PROFIL ANSEHEN</v>
      </c>
    </row>
    <row r="2004" spans="1:12" x14ac:dyDescent="0.2">
      <c r="A2004" t="s">
        <v>12259</v>
      </c>
      <c r="B2004" t="s">
        <v>12260</v>
      </c>
      <c r="C2004" t="s">
        <v>1827</v>
      </c>
      <c r="E2004" t="s">
        <v>12082</v>
      </c>
      <c r="F2004">
        <v>4704</v>
      </c>
      <c r="G2004" t="s">
        <v>221</v>
      </c>
      <c r="H2004" t="s">
        <v>16</v>
      </c>
      <c r="I2004" t="s">
        <v>139</v>
      </c>
      <c r="J2004" t="s">
        <v>140</v>
      </c>
      <c r="K2004" t="s">
        <v>1809</v>
      </c>
      <c r="L2004" t="str">
        <f>HYPERLINK("https://business-monitor.ch/de/companies/1190335-auto-everest-dumitru-klg?utm_source=oberaargau","PROFIL ANSEHEN")</f>
        <v>PROFIL ANSEHEN</v>
      </c>
    </row>
    <row r="2005" spans="1:12" x14ac:dyDescent="0.2">
      <c r="A2005" t="s">
        <v>3721</v>
      </c>
      <c r="B2005" t="s">
        <v>3722</v>
      </c>
      <c r="C2005" t="s">
        <v>202</v>
      </c>
      <c r="E2005" t="s">
        <v>3723</v>
      </c>
      <c r="F2005">
        <v>4922</v>
      </c>
      <c r="G2005" t="s">
        <v>99</v>
      </c>
      <c r="H2005" t="s">
        <v>16</v>
      </c>
      <c r="I2005" t="s">
        <v>2249</v>
      </c>
      <c r="J2005" t="s">
        <v>2250</v>
      </c>
      <c r="K2005" t="s">
        <v>1809</v>
      </c>
      <c r="L2005" t="str">
        <f>HYPERLINK("https://business-monitor.ch/de/companies/313165-zaunteam-mittelland-gmbh?utm_source=oberaargau","PROFIL ANSEHEN")</f>
        <v>PROFIL ANSEHEN</v>
      </c>
    </row>
    <row r="2006" spans="1:12" x14ac:dyDescent="0.2">
      <c r="A2006" t="s">
        <v>10999</v>
      </c>
      <c r="B2006" t="s">
        <v>11000</v>
      </c>
      <c r="C2006" t="s">
        <v>1812</v>
      </c>
      <c r="E2006" t="s">
        <v>2341</v>
      </c>
      <c r="F2006">
        <v>4900</v>
      </c>
      <c r="G2006" t="s">
        <v>41</v>
      </c>
      <c r="H2006" t="s">
        <v>16</v>
      </c>
      <c r="I2006" t="s">
        <v>551</v>
      </c>
      <c r="J2006" t="s">
        <v>552</v>
      </c>
      <c r="K2006" t="s">
        <v>1809</v>
      </c>
      <c r="L2006" t="str">
        <f>HYPERLINK("https://business-monitor.ch/de/companies/1115462-life-concept-cornelia-gerber?utm_source=oberaargau","PROFIL ANSEHEN")</f>
        <v>PROFIL ANSEHEN</v>
      </c>
    </row>
    <row r="2007" spans="1:12" x14ac:dyDescent="0.2">
      <c r="A2007" t="s">
        <v>2542</v>
      </c>
      <c r="B2007" t="s">
        <v>2543</v>
      </c>
      <c r="C2007" t="s">
        <v>1922</v>
      </c>
      <c r="E2007" t="s">
        <v>2544</v>
      </c>
      <c r="F2007">
        <v>3360</v>
      </c>
      <c r="G2007" t="s">
        <v>35</v>
      </c>
      <c r="H2007" t="s">
        <v>16</v>
      </c>
      <c r="I2007" t="s">
        <v>2545</v>
      </c>
      <c r="J2007" t="s">
        <v>2546</v>
      </c>
      <c r="K2007" t="s">
        <v>1809</v>
      </c>
      <c r="L2007" t="str">
        <f>HYPERLINK("https://business-monitor.ch/de/companies/141015-stiftung-regionales-arbeitszentrum-raz-herzogenbuchsee?utm_source=oberaargau","PROFIL ANSEHEN")</f>
        <v>PROFIL ANSEHEN</v>
      </c>
    </row>
    <row r="2008" spans="1:12" x14ac:dyDescent="0.2">
      <c r="A2008" t="s">
        <v>10080</v>
      </c>
      <c r="B2008" t="s">
        <v>10081</v>
      </c>
      <c r="C2008" t="s">
        <v>202</v>
      </c>
      <c r="E2008" t="s">
        <v>10082</v>
      </c>
      <c r="F2008">
        <v>4900</v>
      </c>
      <c r="G2008" t="s">
        <v>41</v>
      </c>
      <c r="H2008" t="s">
        <v>16</v>
      </c>
      <c r="I2008" t="s">
        <v>1097</v>
      </c>
      <c r="J2008" t="s">
        <v>1098</v>
      </c>
      <c r="K2008" t="s">
        <v>1809</v>
      </c>
      <c r="L2008" t="str">
        <f>HYPERLINK("https://business-monitor.ch/de/companies/686027-dasgeschenk-ch-gmbh?utm_source=oberaargau","PROFIL ANSEHEN")</f>
        <v>PROFIL ANSEHEN</v>
      </c>
    </row>
    <row r="2009" spans="1:12" x14ac:dyDescent="0.2">
      <c r="A2009" t="s">
        <v>5945</v>
      </c>
      <c r="B2009" t="s">
        <v>5946</v>
      </c>
      <c r="C2009" t="s">
        <v>13</v>
      </c>
      <c r="D2009" t="s">
        <v>5947</v>
      </c>
      <c r="E2009" t="s">
        <v>3114</v>
      </c>
      <c r="F2009">
        <v>4912</v>
      </c>
      <c r="G2009" t="s">
        <v>64</v>
      </c>
      <c r="H2009" t="s">
        <v>16</v>
      </c>
      <c r="I2009" t="s">
        <v>186</v>
      </c>
      <c r="J2009" t="s">
        <v>187</v>
      </c>
      <c r="K2009" t="s">
        <v>1809</v>
      </c>
      <c r="L2009" t="str">
        <f>HYPERLINK("https://business-monitor.ch/de/companies/477575-siegrist-juerg-holding-ag?utm_source=oberaargau","PROFIL ANSEHEN")</f>
        <v>PROFIL ANSEHEN</v>
      </c>
    </row>
    <row r="2010" spans="1:12" x14ac:dyDescent="0.2">
      <c r="A2010" t="s">
        <v>2224</v>
      </c>
      <c r="B2010" t="s">
        <v>14486</v>
      </c>
      <c r="C2010" t="s">
        <v>202</v>
      </c>
      <c r="E2010" t="s">
        <v>10950</v>
      </c>
      <c r="F2010">
        <v>4912</v>
      </c>
      <c r="G2010" t="s">
        <v>64</v>
      </c>
      <c r="H2010" t="s">
        <v>16</v>
      </c>
      <c r="I2010" t="s">
        <v>2226</v>
      </c>
      <c r="J2010" t="s">
        <v>2227</v>
      </c>
      <c r="K2010" t="s">
        <v>1809</v>
      </c>
      <c r="L2010" t="str">
        <f>HYPERLINK("https://business-monitor.ch/de/companies/496711-aarekraft-physiotherapie-gmbh?utm_source=oberaargau","PROFIL ANSEHEN")</f>
        <v>PROFIL ANSEHEN</v>
      </c>
    </row>
    <row r="2011" spans="1:12" x14ac:dyDescent="0.2">
      <c r="A2011" t="s">
        <v>3816</v>
      </c>
      <c r="B2011" t="s">
        <v>3817</v>
      </c>
      <c r="C2011" t="s">
        <v>1812</v>
      </c>
      <c r="E2011" t="s">
        <v>3818</v>
      </c>
      <c r="F2011">
        <v>4934</v>
      </c>
      <c r="G2011" t="s">
        <v>670</v>
      </c>
      <c r="H2011" t="s">
        <v>16</v>
      </c>
      <c r="I2011" t="s">
        <v>1998</v>
      </c>
      <c r="J2011" t="s">
        <v>1999</v>
      </c>
      <c r="K2011" t="s">
        <v>1809</v>
      </c>
      <c r="L2011" t="str">
        <f>HYPERLINK("https://business-monitor.ch/de/companies/546774-greub-s-schatztruhe?utm_source=oberaargau","PROFIL ANSEHEN")</f>
        <v>PROFIL ANSEHEN</v>
      </c>
    </row>
    <row r="2012" spans="1:12" x14ac:dyDescent="0.2">
      <c r="A2012" t="s">
        <v>12125</v>
      </c>
      <c r="B2012" t="s">
        <v>12126</v>
      </c>
      <c r="C2012" t="s">
        <v>202</v>
      </c>
      <c r="D2012" t="s">
        <v>12127</v>
      </c>
      <c r="E2012" t="s">
        <v>179</v>
      </c>
      <c r="F2012">
        <v>4900</v>
      </c>
      <c r="G2012" t="s">
        <v>41</v>
      </c>
      <c r="H2012" t="s">
        <v>16</v>
      </c>
      <c r="I2012" t="s">
        <v>486</v>
      </c>
      <c r="J2012" t="s">
        <v>487</v>
      </c>
      <c r="K2012" t="s">
        <v>1809</v>
      </c>
      <c r="L2012" t="str">
        <f>HYPERLINK("https://business-monitor.ch/de/companies/1188864-mp-metallbau-planung-gmbh?utm_source=oberaargau","PROFIL ANSEHEN")</f>
        <v>PROFIL ANSEHEN</v>
      </c>
    </row>
    <row r="2013" spans="1:12" x14ac:dyDescent="0.2">
      <c r="A2013" t="s">
        <v>10943</v>
      </c>
      <c r="B2013" t="s">
        <v>10944</v>
      </c>
      <c r="C2013" t="s">
        <v>1827</v>
      </c>
      <c r="D2013" t="s">
        <v>10945</v>
      </c>
      <c r="E2013" t="s">
        <v>10946</v>
      </c>
      <c r="F2013">
        <v>4900</v>
      </c>
      <c r="G2013" t="s">
        <v>41</v>
      </c>
      <c r="H2013" t="s">
        <v>16</v>
      </c>
      <c r="I2013" t="s">
        <v>596</v>
      </c>
      <c r="J2013" t="s">
        <v>597</v>
      </c>
      <c r="K2013" t="s">
        <v>1809</v>
      </c>
      <c r="L2013" t="str">
        <f>HYPERLINK("https://business-monitor.ch/de/companies/1100369-cantina-brusa-klg?utm_source=oberaargau","PROFIL ANSEHEN")</f>
        <v>PROFIL ANSEHEN</v>
      </c>
    </row>
    <row r="2014" spans="1:12" x14ac:dyDescent="0.2">
      <c r="A2014" t="s">
        <v>7897</v>
      </c>
      <c r="B2014" t="s">
        <v>7898</v>
      </c>
      <c r="C2014" t="s">
        <v>202</v>
      </c>
      <c r="E2014" t="s">
        <v>7899</v>
      </c>
      <c r="F2014">
        <v>3360</v>
      </c>
      <c r="G2014" t="s">
        <v>35</v>
      </c>
      <c r="H2014" t="s">
        <v>16</v>
      </c>
      <c r="I2014" t="s">
        <v>1993</v>
      </c>
      <c r="J2014" t="s">
        <v>1994</v>
      </c>
      <c r="K2014" t="s">
        <v>1809</v>
      </c>
      <c r="L2014" t="str">
        <f>HYPERLINK("https://business-monitor.ch/de/companies/385568-br-trade-consulting-gmbh?utm_source=oberaargau","PROFIL ANSEHEN")</f>
        <v>PROFIL ANSEHEN</v>
      </c>
    </row>
    <row r="2015" spans="1:12" x14ac:dyDescent="0.2">
      <c r="A2015" t="s">
        <v>4587</v>
      </c>
      <c r="B2015" t="s">
        <v>4588</v>
      </c>
      <c r="C2015" t="s">
        <v>202</v>
      </c>
      <c r="E2015" t="s">
        <v>2974</v>
      </c>
      <c r="F2015">
        <v>4900</v>
      </c>
      <c r="G2015" t="s">
        <v>41</v>
      </c>
      <c r="H2015" t="s">
        <v>16</v>
      </c>
      <c r="I2015" t="s">
        <v>186</v>
      </c>
      <c r="J2015" t="s">
        <v>187</v>
      </c>
      <c r="K2015" t="s">
        <v>1809</v>
      </c>
      <c r="L2015" t="str">
        <f>HYPERLINK("https://business-monitor.ch/de/companies/651488-sll-holding-gmbh?utm_source=oberaargau","PROFIL ANSEHEN")</f>
        <v>PROFIL ANSEHEN</v>
      </c>
    </row>
    <row r="2016" spans="1:12" x14ac:dyDescent="0.2">
      <c r="A2016" t="s">
        <v>7326</v>
      </c>
      <c r="B2016" t="s">
        <v>7327</v>
      </c>
      <c r="C2016" t="s">
        <v>1812</v>
      </c>
      <c r="E2016" t="s">
        <v>7328</v>
      </c>
      <c r="F2016">
        <v>4900</v>
      </c>
      <c r="G2016" t="s">
        <v>41</v>
      </c>
      <c r="H2016" t="s">
        <v>16</v>
      </c>
      <c r="I2016" t="s">
        <v>433</v>
      </c>
      <c r="J2016" t="s">
        <v>434</v>
      </c>
      <c r="K2016" t="s">
        <v>1809</v>
      </c>
      <c r="L2016" t="str">
        <f>HYPERLINK("https://business-monitor.ch/de/companies/992790-faehnle-events-und-marketing?utm_source=oberaargau","PROFIL ANSEHEN")</f>
        <v>PROFIL ANSEHEN</v>
      </c>
    </row>
    <row r="2017" spans="1:12" x14ac:dyDescent="0.2">
      <c r="A2017" t="s">
        <v>12644</v>
      </c>
      <c r="B2017" t="s">
        <v>12645</v>
      </c>
      <c r="C2017" t="s">
        <v>1812</v>
      </c>
      <c r="E2017" t="s">
        <v>12646</v>
      </c>
      <c r="F2017">
        <v>4536</v>
      </c>
      <c r="G2017" t="s">
        <v>1395</v>
      </c>
      <c r="H2017" t="s">
        <v>16</v>
      </c>
      <c r="I2017" t="s">
        <v>824</v>
      </c>
      <c r="J2017" t="s">
        <v>825</v>
      </c>
      <c r="K2017" t="s">
        <v>1809</v>
      </c>
      <c r="L2017" t="str">
        <f>HYPERLINK("https://business-monitor.ch/de/companies/1092474-hkmamastreetfood-chong?utm_source=oberaargau","PROFIL ANSEHEN")</f>
        <v>PROFIL ANSEHEN</v>
      </c>
    </row>
    <row r="2018" spans="1:12" x14ac:dyDescent="0.2">
      <c r="A2018" t="s">
        <v>1862</v>
      </c>
      <c r="B2018" t="s">
        <v>1863</v>
      </c>
      <c r="C2018" t="s">
        <v>202</v>
      </c>
      <c r="E2018" t="s">
        <v>1864</v>
      </c>
      <c r="F2018">
        <v>4950</v>
      </c>
      <c r="G2018" t="s">
        <v>15</v>
      </c>
      <c r="H2018" t="s">
        <v>16</v>
      </c>
      <c r="I2018" t="s">
        <v>1860</v>
      </c>
      <c r="J2018" t="s">
        <v>1861</v>
      </c>
      <c r="K2018" t="s">
        <v>1809</v>
      </c>
      <c r="L2018" t="str">
        <f>HYPERLINK("https://business-monitor.ch/de/companies/1063101-ct-gmbh?utm_source=oberaargau","PROFIL ANSEHEN")</f>
        <v>PROFIL ANSEHEN</v>
      </c>
    </row>
    <row r="2019" spans="1:12" x14ac:dyDescent="0.2">
      <c r="A2019" t="s">
        <v>4797</v>
      </c>
      <c r="B2019" t="s">
        <v>4798</v>
      </c>
      <c r="C2019" t="s">
        <v>1812</v>
      </c>
      <c r="E2019" t="s">
        <v>4799</v>
      </c>
      <c r="F2019">
        <v>4914</v>
      </c>
      <c r="G2019" t="s">
        <v>105</v>
      </c>
      <c r="H2019" t="s">
        <v>16</v>
      </c>
      <c r="I2019" t="s">
        <v>1936</v>
      </c>
      <c r="J2019" t="s">
        <v>1937</v>
      </c>
      <c r="K2019" t="s">
        <v>1809</v>
      </c>
      <c r="L2019" t="str">
        <f>HYPERLINK("https://business-monitor.ch/de/companies/559900-gebaeudetech-rosner-daniel?utm_source=oberaargau","PROFIL ANSEHEN")</f>
        <v>PROFIL ANSEHEN</v>
      </c>
    </row>
    <row r="2020" spans="1:12" x14ac:dyDescent="0.2">
      <c r="A2020" t="s">
        <v>8079</v>
      </c>
      <c r="B2020" t="s">
        <v>8080</v>
      </c>
      <c r="C2020" t="s">
        <v>1812</v>
      </c>
      <c r="E2020" t="s">
        <v>8081</v>
      </c>
      <c r="F2020">
        <v>3360</v>
      </c>
      <c r="G2020" t="s">
        <v>35</v>
      </c>
      <c r="H2020" t="s">
        <v>16</v>
      </c>
      <c r="I2020" t="s">
        <v>565</v>
      </c>
      <c r="J2020" t="s">
        <v>566</v>
      </c>
      <c r="K2020" t="s">
        <v>1809</v>
      </c>
      <c r="L2020" t="str">
        <f>HYPERLINK("https://business-monitor.ch/de/companies/1080347-gugelicious-carina-freiburghaus?utm_source=oberaargau","PROFIL ANSEHEN")</f>
        <v>PROFIL ANSEHEN</v>
      </c>
    </row>
    <row r="2021" spans="1:12" x14ac:dyDescent="0.2">
      <c r="A2021" t="s">
        <v>11698</v>
      </c>
      <c r="B2021" t="s">
        <v>11699</v>
      </c>
      <c r="C2021" t="s">
        <v>1812</v>
      </c>
      <c r="E2021" t="s">
        <v>11700</v>
      </c>
      <c r="F2021">
        <v>4900</v>
      </c>
      <c r="G2021" t="s">
        <v>41</v>
      </c>
      <c r="H2021" t="s">
        <v>16</v>
      </c>
      <c r="I2021" t="s">
        <v>2849</v>
      </c>
      <c r="J2021" t="s">
        <v>2850</v>
      </c>
      <c r="K2021" t="s">
        <v>1809</v>
      </c>
      <c r="L2021" t="str">
        <f>HYPERLINK("https://business-monitor.ch/de/companies/1154374-herzenpflegen-regula-knobel-buchmann?utm_source=oberaargau","PROFIL ANSEHEN")</f>
        <v>PROFIL ANSEHEN</v>
      </c>
    </row>
    <row r="2022" spans="1:12" x14ac:dyDescent="0.2">
      <c r="A2022" t="s">
        <v>3988</v>
      </c>
      <c r="B2022" t="s">
        <v>3989</v>
      </c>
      <c r="C2022" t="s">
        <v>1812</v>
      </c>
      <c r="E2022" t="s">
        <v>2263</v>
      </c>
      <c r="F2022">
        <v>4538</v>
      </c>
      <c r="G2022" t="s">
        <v>71</v>
      </c>
      <c r="H2022" t="s">
        <v>16</v>
      </c>
      <c r="I2022" t="s">
        <v>824</v>
      </c>
      <c r="J2022" t="s">
        <v>825</v>
      </c>
      <c r="K2022" t="s">
        <v>1809</v>
      </c>
      <c r="L2022" t="str">
        <f>HYPERLINK("https://business-monitor.ch/de/companies/702667-juerg-peter?utm_source=oberaargau","PROFIL ANSEHEN")</f>
        <v>PROFIL ANSEHEN</v>
      </c>
    </row>
    <row r="2023" spans="1:12" x14ac:dyDescent="0.2">
      <c r="A2023" t="s">
        <v>10751</v>
      </c>
      <c r="B2023" t="s">
        <v>10752</v>
      </c>
      <c r="C2023" t="s">
        <v>202</v>
      </c>
      <c r="E2023" t="s">
        <v>10753</v>
      </c>
      <c r="F2023">
        <v>4938</v>
      </c>
      <c r="G2023" t="s">
        <v>618</v>
      </c>
      <c r="H2023" t="s">
        <v>16</v>
      </c>
      <c r="I2023" t="s">
        <v>4171</v>
      </c>
      <c r="J2023" t="s">
        <v>4172</v>
      </c>
      <c r="K2023" t="s">
        <v>1809</v>
      </c>
      <c r="L2023" t="str">
        <f>HYPERLINK("https://business-monitor.ch/de/companies/1096484-haari-rohrbach-gmbh?utm_source=oberaargau","PROFIL ANSEHEN")</f>
        <v>PROFIL ANSEHEN</v>
      </c>
    </row>
    <row r="2024" spans="1:12" x14ac:dyDescent="0.2">
      <c r="A2024" t="s">
        <v>4767</v>
      </c>
      <c r="B2024" t="s">
        <v>4768</v>
      </c>
      <c r="C2024" t="s">
        <v>202</v>
      </c>
      <c r="E2024" t="s">
        <v>4769</v>
      </c>
      <c r="F2024">
        <v>3360</v>
      </c>
      <c r="G2024" t="s">
        <v>35</v>
      </c>
      <c r="H2024" t="s">
        <v>16</v>
      </c>
      <c r="I2024" t="s">
        <v>4770</v>
      </c>
      <c r="J2024" t="s">
        <v>4771</v>
      </c>
      <c r="K2024" t="s">
        <v>1809</v>
      </c>
      <c r="L2024" t="str">
        <f>HYPERLINK("https://business-monitor.ch/de/companies/568907-pelletchef-gmbh?utm_source=oberaargau","PROFIL ANSEHEN")</f>
        <v>PROFIL ANSEHEN</v>
      </c>
    </row>
    <row r="2025" spans="1:12" x14ac:dyDescent="0.2">
      <c r="A2025" t="s">
        <v>10085</v>
      </c>
      <c r="B2025" t="s">
        <v>10086</v>
      </c>
      <c r="C2025" t="s">
        <v>202</v>
      </c>
      <c r="E2025" t="s">
        <v>10594</v>
      </c>
      <c r="F2025">
        <v>4950</v>
      </c>
      <c r="G2025" t="s">
        <v>15</v>
      </c>
      <c r="H2025" t="s">
        <v>16</v>
      </c>
      <c r="I2025" t="s">
        <v>1841</v>
      </c>
      <c r="J2025" t="s">
        <v>1842</v>
      </c>
      <c r="K2025" t="s">
        <v>1809</v>
      </c>
      <c r="L2025" t="str">
        <f>HYPERLINK("https://business-monitor.ch/de/companies/684764-podop-fusspflegepraxis-gmbh?utm_source=oberaargau","PROFIL ANSEHEN")</f>
        <v>PROFIL ANSEHEN</v>
      </c>
    </row>
    <row r="2026" spans="1:12" x14ac:dyDescent="0.2">
      <c r="A2026" t="s">
        <v>10281</v>
      </c>
      <c r="B2026" t="s">
        <v>10282</v>
      </c>
      <c r="C2026" t="s">
        <v>84</v>
      </c>
      <c r="D2026" t="s">
        <v>1923</v>
      </c>
      <c r="E2026" t="s">
        <v>1329</v>
      </c>
      <c r="F2026">
        <v>4536</v>
      </c>
      <c r="G2026" t="s">
        <v>1395</v>
      </c>
      <c r="H2026" t="s">
        <v>16</v>
      </c>
      <c r="I2026" t="s">
        <v>966</v>
      </c>
      <c r="J2026" t="s">
        <v>967</v>
      </c>
      <c r="K2026" t="s">
        <v>1809</v>
      </c>
      <c r="L2026" t="str">
        <f>HYPERLINK("https://business-monitor.ch/de/companies/572966-genossenschaft-wiesenweg-attiswil?utm_source=oberaargau","PROFIL ANSEHEN")</f>
        <v>PROFIL ANSEHEN</v>
      </c>
    </row>
    <row r="2027" spans="1:12" x14ac:dyDescent="0.2">
      <c r="A2027" t="s">
        <v>10773</v>
      </c>
      <c r="B2027" t="s">
        <v>10774</v>
      </c>
      <c r="C2027" t="s">
        <v>1812</v>
      </c>
      <c r="E2027" t="s">
        <v>10775</v>
      </c>
      <c r="F2027">
        <v>3380</v>
      </c>
      <c r="G2027" t="s">
        <v>29</v>
      </c>
      <c r="H2027" t="s">
        <v>16</v>
      </c>
      <c r="I2027" t="s">
        <v>642</v>
      </c>
      <c r="J2027" t="s">
        <v>643</v>
      </c>
      <c r="K2027" t="s">
        <v>1809</v>
      </c>
      <c r="L2027" t="str">
        <f>HYPERLINK("https://business-monitor.ch/de/companies/1111540-aare-garage-qerimi?utm_source=oberaargau","PROFIL ANSEHEN")</f>
        <v>PROFIL ANSEHEN</v>
      </c>
    </row>
    <row r="2028" spans="1:12" x14ac:dyDescent="0.2">
      <c r="A2028" t="s">
        <v>11251</v>
      </c>
      <c r="B2028" t="s">
        <v>11252</v>
      </c>
      <c r="C2028" t="s">
        <v>202</v>
      </c>
      <c r="E2028" t="s">
        <v>5312</v>
      </c>
      <c r="F2028">
        <v>4900</v>
      </c>
      <c r="G2028" t="s">
        <v>41</v>
      </c>
      <c r="H2028" t="s">
        <v>16</v>
      </c>
      <c r="I2028" t="s">
        <v>1062</v>
      </c>
      <c r="J2028" t="s">
        <v>1063</v>
      </c>
      <c r="K2028" t="s">
        <v>1809</v>
      </c>
      <c r="L2028" t="str">
        <f>HYPERLINK("https://business-monitor.ch/de/companies/1127319-zweikwerk-gmbh?utm_source=oberaargau","PROFIL ANSEHEN")</f>
        <v>PROFIL ANSEHEN</v>
      </c>
    </row>
    <row r="2029" spans="1:12" x14ac:dyDescent="0.2">
      <c r="A2029" t="s">
        <v>1753</v>
      </c>
      <c r="B2029" t="s">
        <v>3322</v>
      </c>
      <c r="C2029" t="s">
        <v>13</v>
      </c>
      <c r="E2029" t="s">
        <v>3323</v>
      </c>
      <c r="F2029">
        <v>4923</v>
      </c>
      <c r="G2029" t="s">
        <v>732</v>
      </c>
      <c r="H2029" t="s">
        <v>16</v>
      </c>
      <c r="I2029" t="s">
        <v>2365</v>
      </c>
      <c r="J2029" t="s">
        <v>2366</v>
      </c>
      <c r="K2029" t="s">
        <v>1809</v>
      </c>
      <c r="L2029" t="str">
        <f>HYPERLINK("https://business-monitor.ch/de/companies/230113-stocklin-baumschulen-ag?utm_source=oberaargau","PROFIL ANSEHEN")</f>
        <v>PROFIL ANSEHEN</v>
      </c>
    </row>
    <row r="2030" spans="1:12" x14ac:dyDescent="0.2">
      <c r="A2030" t="s">
        <v>10474</v>
      </c>
      <c r="B2030" t="s">
        <v>10475</v>
      </c>
      <c r="C2030" t="s">
        <v>1812</v>
      </c>
      <c r="E2030" t="s">
        <v>10476</v>
      </c>
      <c r="F2030">
        <v>4917</v>
      </c>
      <c r="G2030" t="s">
        <v>5999</v>
      </c>
      <c r="H2030" t="s">
        <v>16</v>
      </c>
      <c r="I2030" t="s">
        <v>781</v>
      </c>
      <c r="J2030" t="s">
        <v>782</v>
      </c>
      <c r="K2030" t="s">
        <v>1809</v>
      </c>
      <c r="L2030" t="str">
        <f>HYPERLINK("https://business-monitor.ch/de/companies/467779-maw-mariotto-art-works?utm_source=oberaargau","PROFIL ANSEHEN")</f>
        <v>PROFIL ANSEHEN</v>
      </c>
    </row>
    <row r="2031" spans="1:12" x14ac:dyDescent="0.2">
      <c r="A2031" t="s">
        <v>14487</v>
      </c>
      <c r="B2031" t="s">
        <v>14488</v>
      </c>
      <c r="C2031" t="s">
        <v>202</v>
      </c>
      <c r="D2031" t="s">
        <v>14489</v>
      </c>
      <c r="E2031" t="s">
        <v>14490</v>
      </c>
      <c r="F2031">
        <v>4922</v>
      </c>
      <c r="G2031" t="s">
        <v>1318</v>
      </c>
      <c r="H2031" t="s">
        <v>16</v>
      </c>
      <c r="I2031" t="s">
        <v>2327</v>
      </c>
      <c r="J2031" t="s">
        <v>2328</v>
      </c>
      <c r="K2031" t="s">
        <v>1809</v>
      </c>
      <c r="L2031" t="str">
        <f>HYPERLINK("https://business-monitor.ch/de/companies/644475-chutzegarte-gmbh?utm_source=oberaargau","PROFIL ANSEHEN")</f>
        <v>PROFIL ANSEHEN</v>
      </c>
    </row>
    <row r="2032" spans="1:12" x14ac:dyDescent="0.2">
      <c r="A2032" t="s">
        <v>7762</v>
      </c>
      <c r="B2032" t="s">
        <v>7763</v>
      </c>
      <c r="C2032" t="s">
        <v>1812</v>
      </c>
      <c r="E2032" t="s">
        <v>7764</v>
      </c>
      <c r="F2032">
        <v>4538</v>
      </c>
      <c r="G2032" t="s">
        <v>71</v>
      </c>
      <c r="H2032" t="s">
        <v>16</v>
      </c>
      <c r="I2032" t="s">
        <v>629</v>
      </c>
      <c r="J2032" t="s">
        <v>630</v>
      </c>
      <c r="K2032" t="s">
        <v>1809</v>
      </c>
      <c r="L2032" t="str">
        <f>HYPERLINK("https://business-monitor.ch/de/companies/581428-erredielle-factory-roberto-scolozzi?utm_source=oberaargau","PROFIL ANSEHEN")</f>
        <v>PROFIL ANSEHEN</v>
      </c>
    </row>
    <row r="2033" spans="1:12" x14ac:dyDescent="0.2">
      <c r="A2033" t="s">
        <v>3738</v>
      </c>
      <c r="B2033" t="s">
        <v>3739</v>
      </c>
      <c r="C2033" t="s">
        <v>202</v>
      </c>
      <c r="E2033" t="s">
        <v>1070</v>
      </c>
      <c r="F2033">
        <v>4900</v>
      </c>
      <c r="G2033" t="s">
        <v>41</v>
      </c>
      <c r="H2033" t="s">
        <v>16</v>
      </c>
      <c r="I2033" t="s">
        <v>182</v>
      </c>
      <c r="J2033" t="s">
        <v>183</v>
      </c>
      <c r="K2033" t="s">
        <v>1809</v>
      </c>
      <c r="L2033" t="str">
        <f>HYPERLINK("https://business-monitor.ch/de/companies/685120-amstutz-maurer-holding-gmbh?utm_source=oberaargau","PROFIL ANSEHEN")</f>
        <v>PROFIL ANSEHEN</v>
      </c>
    </row>
    <row r="2034" spans="1:12" x14ac:dyDescent="0.2">
      <c r="A2034" t="s">
        <v>9638</v>
      </c>
      <c r="B2034" t="s">
        <v>9639</v>
      </c>
      <c r="C2034" t="s">
        <v>1812</v>
      </c>
      <c r="E2034" t="s">
        <v>1929</v>
      </c>
      <c r="F2034">
        <v>4950</v>
      </c>
      <c r="G2034" t="s">
        <v>15</v>
      </c>
      <c r="H2034" t="s">
        <v>16</v>
      </c>
      <c r="I2034" t="s">
        <v>3850</v>
      </c>
      <c r="J2034" t="s">
        <v>3851</v>
      </c>
      <c r="K2034" t="s">
        <v>1809</v>
      </c>
      <c r="L2034" t="str">
        <f>HYPERLINK("https://business-monitor.ch/de/companies/1040779-schneider-caroline-saeubergmacht-ch?utm_source=oberaargau","PROFIL ANSEHEN")</f>
        <v>PROFIL ANSEHEN</v>
      </c>
    </row>
    <row r="2035" spans="1:12" x14ac:dyDescent="0.2">
      <c r="A2035" t="s">
        <v>7748</v>
      </c>
      <c r="B2035" t="s">
        <v>7749</v>
      </c>
      <c r="C2035" t="s">
        <v>202</v>
      </c>
      <c r="E2035" t="s">
        <v>2362</v>
      </c>
      <c r="F2035">
        <v>3366</v>
      </c>
      <c r="G2035" t="s">
        <v>728</v>
      </c>
      <c r="H2035" t="s">
        <v>16</v>
      </c>
      <c r="I2035" t="s">
        <v>464</v>
      </c>
      <c r="J2035" t="s">
        <v>465</v>
      </c>
      <c r="K2035" t="s">
        <v>1809</v>
      </c>
      <c r="L2035" t="str">
        <f>HYPERLINK("https://business-monitor.ch/de/companies/585756-maz-technik-gmbh?utm_source=oberaargau","PROFIL ANSEHEN")</f>
        <v>PROFIL ANSEHEN</v>
      </c>
    </row>
    <row r="2036" spans="1:12" x14ac:dyDescent="0.2">
      <c r="A2036" t="s">
        <v>13071</v>
      </c>
      <c r="B2036" t="s">
        <v>13072</v>
      </c>
      <c r="C2036" t="s">
        <v>202</v>
      </c>
      <c r="E2036" t="s">
        <v>5602</v>
      </c>
      <c r="F2036">
        <v>4900</v>
      </c>
      <c r="G2036" t="s">
        <v>41</v>
      </c>
      <c r="H2036" t="s">
        <v>16</v>
      </c>
      <c r="I2036" t="s">
        <v>1071</v>
      </c>
      <c r="J2036" t="s">
        <v>1072</v>
      </c>
      <c r="K2036" t="s">
        <v>1809</v>
      </c>
      <c r="L2036" t="str">
        <f>HYPERLINK("https://business-monitor.ch/de/companies/1240260-uniktrucks-gmbh?utm_source=oberaargau","PROFIL ANSEHEN")</f>
        <v>PROFIL ANSEHEN</v>
      </c>
    </row>
    <row r="2037" spans="1:12" x14ac:dyDescent="0.2">
      <c r="A2037" t="s">
        <v>12929</v>
      </c>
      <c r="B2037" t="s">
        <v>12930</v>
      </c>
      <c r="C2037" t="s">
        <v>202</v>
      </c>
      <c r="E2037" t="s">
        <v>12931</v>
      </c>
      <c r="F2037">
        <v>4900</v>
      </c>
      <c r="G2037" t="s">
        <v>41</v>
      </c>
      <c r="H2037" t="s">
        <v>16</v>
      </c>
      <c r="I2037" t="s">
        <v>1296</v>
      </c>
      <c r="J2037" t="s">
        <v>1297</v>
      </c>
      <c r="K2037" t="s">
        <v>1809</v>
      </c>
      <c r="L2037" t="str">
        <f>HYPERLINK("https://business-monitor.ch/de/companies/1222954-patrick-jordi-medien-gmbh?utm_source=oberaargau","PROFIL ANSEHEN")</f>
        <v>PROFIL ANSEHEN</v>
      </c>
    </row>
    <row r="2038" spans="1:12" x14ac:dyDescent="0.2">
      <c r="A2038" t="s">
        <v>7806</v>
      </c>
      <c r="B2038" t="s">
        <v>7807</v>
      </c>
      <c r="C2038" t="s">
        <v>13</v>
      </c>
      <c r="E2038" t="s">
        <v>7808</v>
      </c>
      <c r="F2038">
        <v>4922</v>
      </c>
      <c r="G2038" t="s">
        <v>99</v>
      </c>
      <c r="H2038" t="s">
        <v>16</v>
      </c>
      <c r="I2038" t="s">
        <v>603</v>
      </c>
      <c r="J2038" t="s">
        <v>604</v>
      </c>
      <c r="K2038" t="s">
        <v>1809</v>
      </c>
      <c r="L2038" t="str">
        <f>HYPERLINK("https://business-monitor.ch/de/companies/543278-rieder-lenz-ag?utm_source=oberaargau","PROFIL ANSEHEN")</f>
        <v>PROFIL ANSEHEN</v>
      </c>
    </row>
    <row r="2039" spans="1:12" x14ac:dyDescent="0.2">
      <c r="A2039" t="s">
        <v>11078</v>
      </c>
      <c r="B2039" t="s">
        <v>11079</v>
      </c>
      <c r="C2039" t="s">
        <v>1812</v>
      </c>
      <c r="E2039" t="s">
        <v>7293</v>
      </c>
      <c r="F2039">
        <v>3360</v>
      </c>
      <c r="G2039" t="s">
        <v>35</v>
      </c>
      <c r="H2039" t="s">
        <v>16</v>
      </c>
      <c r="I2039" t="s">
        <v>6733</v>
      </c>
      <c r="J2039" t="s">
        <v>6734</v>
      </c>
      <c r="K2039" t="s">
        <v>1809</v>
      </c>
      <c r="L2039" t="str">
        <f>HYPERLINK("https://business-monitor.ch/de/companies/1121044-dietrich-s-hobbyschuppen?utm_source=oberaargau","PROFIL ANSEHEN")</f>
        <v>PROFIL ANSEHEN</v>
      </c>
    </row>
    <row r="2040" spans="1:12" x14ac:dyDescent="0.2">
      <c r="A2040" t="s">
        <v>11064</v>
      </c>
      <c r="B2040" t="s">
        <v>11065</v>
      </c>
      <c r="C2040" t="s">
        <v>1812</v>
      </c>
      <c r="E2040" t="s">
        <v>11066</v>
      </c>
      <c r="F2040">
        <v>3360</v>
      </c>
      <c r="G2040" t="s">
        <v>35</v>
      </c>
      <c r="H2040" t="s">
        <v>16</v>
      </c>
      <c r="I2040" t="s">
        <v>1835</v>
      </c>
      <c r="J2040" t="s">
        <v>1836</v>
      </c>
      <c r="K2040" t="s">
        <v>1809</v>
      </c>
      <c r="L2040" t="str">
        <f>HYPERLINK("https://business-monitor.ch/de/companies/1122857-edelglanz-swiss-shabani?utm_source=oberaargau","PROFIL ANSEHEN")</f>
        <v>PROFIL ANSEHEN</v>
      </c>
    </row>
    <row r="2041" spans="1:12" x14ac:dyDescent="0.2">
      <c r="A2041" t="s">
        <v>11638</v>
      </c>
      <c r="B2041" t="s">
        <v>11639</v>
      </c>
      <c r="C2041" t="s">
        <v>202</v>
      </c>
      <c r="E2041" t="s">
        <v>756</v>
      </c>
      <c r="F2041">
        <v>3360</v>
      </c>
      <c r="G2041" t="s">
        <v>35</v>
      </c>
      <c r="H2041" t="s">
        <v>16</v>
      </c>
      <c r="I2041" t="s">
        <v>72</v>
      </c>
      <c r="J2041" t="s">
        <v>73</v>
      </c>
      <c r="K2041" t="s">
        <v>1809</v>
      </c>
      <c r="L2041" t="str">
        <f>HYPERLINK("https://business-monitor.ch/de/companies/1161002-mdc-management-gmbh?utm_source=oberaargau","PROFIL ANSEHEN")</f>
        <v>PROFIL ANSEHEN</v>
      </c>
    </row>
    <row r="2042" spans="1:12" x14ac:dyDescent="0.2">
      <c r="A2042" t="s">
        <v>13076</v>
      </c>
      <c r="B2042" t="s">
        <v>13077</v>
      </c>
      <c r="C2042" t="s">
        <v>202</v>
      </c>
      <c r="E2042" t="s">
        <v>11533</v>
      </c>
      <c r="F2042">
        <v>4934</v>
      </c>
      <c r="G2042" t="s">
        <v>670</v>
      </c>
      <c r="H2042" t="s">
        <v>16</v>
      </c>
      <c r="I2042" t="s">
        <v>1835</v>
      </c>
      <c r="J2042" t="s">
        <v>1836</v>
      </c>
      <c r="K2042" t="s">
        <v>1809</v>
      </c>
      <c r="L2042" t="str">
        <f>HYPERLINK("https://business-monitor.ch/de/companies/1240502-beck-s-management-gmbh?utm_source=oberaargau","PROFIL ANSEHEN")</f>
        <v>PROFIL ANSEHEN</v>
      </c>
    </row>
    <row r="2043" spans="1:12" x14ac:dyDescent="0.2">
      <c r="A2043" t="s">
        <v>9840</v>
      </c>
      <c r="B2043" t="s">
        <v>9841</v>
      </c>
      <c r="C2043" t="s">
        <v>13</v>
      </c>
      <c r="D2043" t="s">
        <v>9842</v>
      </c>
      <c r="E2043" t="s">
        <v>5950</v>
      </c>
      <c r="F2043">
        <v>4912</v>
      </c>
      <c r="G2043" t="s">
        <v>64</v>
      </c>
      <c r="H2043" t="s">
        <v>16</v>
      </c>
      <c r="I2043" t="s">
        <v>186</v>
      </c>
      <c r="J2043" t="s">
        <v>187</v>
      </c>
      <c r="K2043" t="s">
        <v>1809</v>
      </c>
      <c r="L2043" t="str">
        <f>HYPERLINK("https://business-monitor.ch/de/companies/991935-bucher-muniberg-holding-ag?utm_source=oberaargau","PROFIL ANSEHEN")</f>
        <v>PROFIL ANSEHEN</v>
      </c>
    </row>
    <row r="2044" spans="1:12" x14ac:dyDescent="0.2">
      <c r="A2044" t="s">
        <v>13835</v>
      </c>
      <c r="B2044" t="s">
        <v>13836</v>
      </c>
      <c r="C2044" t="s">
        <v>13</v>
      </c>
      <c r="E2044" t="s">
        <v>3166</v>
      </c>
      <c r="F2044">
        <v>4900</v>
      </c>
      <c r="G2044" t="s">
        <v>41</v>
      </c>
      <c r="H2044" t="s">
        <v>16</v>
      </c>
      <c r="I2044" t="s">
        <v>1993</v>
      </c>
      <c r="J2044" t="s">
        <v>1994</v>
      </c>
      <c r="K2044" t="s">
        <v>1809</v>
      </c>
      <c r="L2044" t="str">
        <f>HYPERLINK("https://business-monitor.ch/de/companies/1278086-ims-schlossberg-ag?utm_source=oberaargau","PROFIL ANSEHEN")</f>
        <v>PROFIL ANSEHEN</v>
      </c>
    </row>
    <row r="2045" spans="1:12" x14ac:dyDescent="0.2">
      <c r="A2045" t="s">
        <v>8966</v>
      </c>
      <c r="B2045" t="s">
        <v>8967</v>
      </c>
      <c r="C2045" t="s">
        <v>1922</v>
      </c>
      <c r="D2045" t="s">
        <v>8968</v>
      </c>
      <c r="E2045" t="s">
        <v>314</v>
      </c>
      <c r="F2045">
        <v>3360</v>
      </c>
      <c r="G2045" t="s">
        <v>35</v>
      </c>
      <c r="H2045" t="s">
        <v>16</v>
      </c>
      <c r="I2045" t="s">
        <v>2116</v>
      </c>
      <c r="J2045" t="s">
        <v>2117</v>
      </c>
      <c r="K2045" t="s">
        <v>1809</v>
      </c>
      <c r="L2045" t="str">
        <f>HYPERLINK("https://business-monitor.ch/de/companies/254532-wohlfahrtsstiftung-der-duap-ag?utm_source=oberaargau","PROFIL ANSEHEN")</f>
        <v>PROFIL ANSEHEN</v>
      </c>
    </row>
    <row r="2046" spans="1:12" x14ac:dyDescent="0.2">
      <c r="A2046" t="s">
        <v>7995</v>
      </c>
      <c r="B2046" t="s">
        <v>7996</v>
      </c>
      <c r="C2046" t="s">
        <v>1812</v>
      </c>
      <c r="E2046" t="s">
        <v>4586</v>
      </c>
      <c r="F2046">
        <v>4932</v>
      </c>
      <c r="G2046" t="s">
        <v>325</v>
      </c>
      <c r="H2046" t="s">
        <v>16</v>
      </c>
      <c r="I2046" t="s">
        <v>824</v>
      </c>
      <c r="J2046" t="s">
        <v>825</v>
      </c>
      <c r="K2046" t="s">
        <v>1809</v>
      </c>
      <c r="L2046" t="str">
        <f>HYPERLINK("https://business-monitor.ch/de/companies/5156-bingo-express-emine-kilic?utm_source=oberaargau","PROFIL ANSEHEN")</f>
        <v>PROFIL ANSEHEN</v>
      </c>
    </row>
    <row r="2047" spans="1:12" x14ac:dyDescent="0.2">
      <c r="A2047" t="s">
        <v>8820</v>
      </c>
      <c r="B2047" t="s">
        <v>8821</v>
      </c>
      <c r="C2047" t="s">
        <v>1812</v>
      </c>
      <c r="E2047" t="s">
        <v>8822</v>
      </c>
      <c r="F2047">
        <v>4950</v>
      </c>
      <c r="G2047" t="s">
        <v>15</v>
      </c>
      <c r="H2047" t="s">
        <v>16</v>
      </c>
      <c r="I2047" t="s">
        <v>1062</v>
      </c>
      <c r="J2047" t="s">
        <v>1063</v>
      </c>
      <c r="K2047" t="s">
        <v>1809</v>
      </c>
      <c r="L2047" t="str">
        <f>HYPERLINK("https://business-monitor.ch/de/companies/343236-hans-huber-nachfolger-dominic-minder?utm_source=oberaargau","PROFIL ANSEHEN")</f>
        <v>PROFIL ANSEHEN</v>
      </c>
    </row>
    <row r="2048" spans="1:12" x14ac:dyDescent="0.2">
      <c r="A2048" t="s">
        <v>10700</v>
      </c>
      <c r="B2048" t="s">
        <v>10701</v>
      </c>
      <c r="C2048" t="s">
        <v>1827</v>
      </c>
      <c r="E2048" t="s">
        <v>1859</v>
      </c>
      <c r="F2048">
        <v>4900</v>
      </c>
      <c r="G2048" t="s">
        <v>41</v>
      </c>
      <c r="H2048" t="s">
        <v>16</v>
      </c>
      <c r="I2048" t="s">
        <v>1860</v>
      </c>
      <c r="J2048" t="s">
        <v>1861</v>
      </c>
      <c r="K2048" t="s">
        <v>1809</v>
      </c>
      <c r="L2048" t="str">
        <f>HYPERLINK("https://business-monitor.ch/de/companies/348432-pink-style-hairdesign-ruffiner-spada?utm_source=oberaargau","PROFIL ANSEHEN")</f>
        <v>PROFIL ANSEHEN</v>
      </c>
    </row>
    <row r="2049" spans="1:12" x14ac:dyDescent="0.2">
      <c r="A2049" t="s">
        <v>11421</v>
      </c>
      <c r="B2049" t="s">
        <v>12162</v>
      </c>
      <c r="C2049" t="s">
        <v>13</v>
      </c>
      <c r="E2049" t="s">
        <v>4586</v>
      </c>
      <c r="F2049">
        <v>4932</v>
      </c>
      <c r="G2049" t="s">
        <v>325</v>
      </c>
      <c r="H2049" t="s">
        <v>16</v>
      </c>
      <c r="I2049" t="s">
        <v>671</v>
      </c>
      <c r="J2049" t="s">
        <v>672</v>
      </c>
      <c r="K2049" t="s">
        <v>1809</v>
      </c>
      <c r="L2049" t="str">
        <f>HYPERLINK("https://business-monitor.ch/de/companies/1129391-praxis-lotzwil-ag?utm_source=oberaargau","PROFIL ANSEHEN")</f>
        <v>PROFIL ANSEHEN</v>
      </c>
    </row>
    <row r="2050" spans="1:12" x14ac:dyDescent="0.2">
      <c r="A2050" t="s">
        <v>3612</v>
      </c>
      <c r="B2050" t="s">
        <v>3613</v>
      </c>
      <c r="C2050" t="s">
        <v>84</v>
      </c>
      <c r="E2050" t="s">
        <v>14491</v>
      </c>
      <c r="F2050">
        <v>4937</v>
      </c>
      <c r="G2050" t="s">
        <v>951</v>
      </c>
      <c r="H2050" t="s">
        <v>16</v>
      </c>
      <c r="I2050" t="s">
        <v>386</v>
      </c>
      <c r="J2050" t="s">
        <v>387</v>
      </c>
      <c r="K2050" t="s">
        <v>1809</v>
      </c>
      <c r="L2050" t="str">
        <f>HYPERLINK("https://business-monitor.ch/de/companies/92292-wasserversorgungsgenossenschaft-ursenbach?utm_source=oberaargau","PROFIL ANSEHEN")</f>
        <v>PROFIL ANSEHEN</v>
      </c>
    </row>
    <row r="2051" spans="1:12" x14ac:dyDescent="0.2">
      <c r="A2051" t="s">
        <v>4350</v>
      </c>
      <c r="B2051" t="s">
        <v>4351</v>
      </c>
      <c r="C2051" t="s">
        <v>1812</v>
      </c>
      <c r="E2051" t="s">
        <v>4352</v>
      </c>
      <c r="F2051">
        <v>4900</v>
      </c>
      <c r="G2051" t="s">
        <v>41</v>
      </c>
      <c r="H2051" t="s">
        <v>16</v>
      </c>
      <c r="I2051" t="s">
        <v>542</v>
      </c>
      <c r="J2051" t="s">
        <v>543</v>
      </c>
      <c r="K2051" t="s">
        <v>1809</v>
      </c>
      <c r="L2051" t="str">
        <f>HYPERLINK("https://business-monitor.ch/de/companies/958659-a-meyer-bedachungen-fassaden-nachfolger-thomas-kropf?utm_source=oberaargau","PROFIL ANSEHEN")</f>
        <v>PROFIL ANSEHEN</v>
      </c>
    </row>
    <row r="2052" spans="1:12" x14ac:dyDescent="0.2">
      <c r="A2052" t="s">
        <v>7547</v>
      </c>
      <c r="B2052" t="s">
        <v>7548</v>
      </c>
      <c r="C2052" t="s">
        <v>202</v>
      </c>
      <c r="D2052" t="s">
        <v>10875</v>
      </c>
      <c r="E2052" t="s">
        <v>779</v>
      </c>
      <c r="F2052">
        <v>4916</v>
      </c>
      <c r="G2052" t="s">
        <v>780</v>
      </c>
      <c r="H2052" t="s">
        <v>16</v>
      </c>
      <c r="I2052" t="s">
        <v>186</v>
      </c>
      <c r="J2052" t="s">
        <v>187</v>
      </c>
      <c r="K2052" t="s">
        <v>1809</v>
      </c>
      <c r="L2052" t="str">
        <f>HYPERLINK("https://business-monitor.ch/de/companies/703088-ms-holding-gmbh?utm_source=oberaargau","PROFIL ANSEHEN")</f>
        <v>PROFIL ANSEHEN</v>
      </c>
    </row>
    <row r="2053" spans="1:12" x14ac:dyDescent="0.2">
      <c r="A2053" t="s">
        <v>4934</v>
      </c>
      <c r="B2053" t="s">
        <v>4935</v>
      </c>
      <c r="C2053" t="s">
        <v>1922</v>
      </c>
      <c r="D2053" t="s">
        <v>4936</v>
      </c>
      <c r="E2053" t="s">
        <v>1817</v>
      </c>
      <c r="F2053">
        <v>4704</v>
      </c>
      <c r="G2053" t="s">
        <v>221</v>
      </c>
      <c r="H2053" t="s">
        <v>16</v>
      </c>
      <c r="I2053" t="s">
        <v>2849</v>
      </c>
      <c r="J2053" t="s">
        <v>2850</v>
      </c>
      <c r="K2053" t="s">
        <v>1809</v>
      </c>
      <c r="L2053" t="str">
        <f>HYPERLINK("https://business-monitor.ch/de/companies/703122-stiftung-zihlmann-gertrud?utm_source=oberaargau","PROFIL ANSEHEN")</f>
        <v>PROFIL ANSEHEN</v>
      </c>
    </row>
    <row r="2054" spans="1:12" x14ac:dyDescent="0.2">
      <c r="A2054" t="s">
        <v>12187</v>
      </c>
      <c r="B2054" t="s">
        <v>12188</v>
      </c>
      <c r="C2054" t="s">
        <v>202</v>
      </c>
      <c r="E2054" t="s">
        <v>12189</v>
      </c>
      <c r="F2054">
        <v>4950</v>
      </c>
      <c r="G2054" t="s">
        <v>15</v>
      </c>
      <c r="H2054" t="s">
        <v>16</v>
      </c>
      <c r="I2054" t="s">
        <v>733</v>
      </c>
      <c r="J2054" t="s">
        <v>734</v>
      </c>
      <c r="K2054" t="s">
        <v>1809</v>
      </c>
      <c r="L2054" t="str">
        <f>HYPERLINK("https://business-monitor.ch/de/companies/1184875-bm3-automobile-gmbh?utm_source=oberaargau","PROFIL ANSEHEN")</f>
        <v>PROFIL ANSEHEN</v>
      </c>
    </row>
    <row r="2055" spans="1:12" x14ac:dyDescent="0.2">
      <c r="A2055" t="s">
        <v>5678</v>
      </c>
      <c r="B2055" t="s">
        <v>5679</v>
      </c>
      <c r="C2055" t="s">
        <v>202</v>
      </c>
      <c r="D2055" t="s">
        <v>12798</v>
      </c>
      <c r="E2055" t="s">
        <v>7874</v>
      </c>
      <c r="F2055">
        <v>4912</v>
      </c>
      <c r="G2055" t="s">
        <v>64</v>
      </c>
      <c r="H2055" t="s">
        <v>16</v>
      </c>
      <c r="I2055" t="s">
        <v>232</v>
      </c>
      <c r="J2055" t="s">
        <v>233</v>
      </c>
      <c r="K2055" t="s">
        <v>1809</v>
      </c>
      <c r="L2055" t="str">
        <f>HYPERLINK("https://business-monitor.ch/de/companies/215188-graf-krummenacher-partner-beratungsgesellschaft-gmbh?utm_source=oberaargau","PROFIL ANSEHEN")</f>
        <v>PROFIL ANSEHEN</v>
      </c>
    </row>
    <row r="2056" spans="1:12" x14ac:dyDescent="0.2">
      <c r="A2056" t="s">
        <v>6210</v>
      </c>
      <c r="B2056" t="s">
        <v>6211</v>
      </c>
      <c r="C2056" t="s">
        <v>1812</v>
      </c>
      <c r="E2056" t="s">
        <v>6212</v>
      </c>
      <c r="F2056">
        <v>3360</v>
      </c>
      <c r="G2056" t="s">
        <v>35</v>
      </c>
      <c r="H2056" t="s">
        <v>16</v>
      </c>
      <c r="I2056" t="s">
        <v>1818</v>
      </c>
      <c r="J2056" t="s">
        <v>1819</v>
      </c>
      <c r="K2056" t="s">
        <v>1809</v>
      </c>
      <c r="L2056" t="str">
        <f>HYPERLINK("https://business-monitor.ch/de/companies/368743-dennis-borgeaud-versicherungen-und-vorsorge?utm_source=oberaargau","PROFIL ANSEHEN")</f>
        <v>PROFIL ANSEHEN</v>
      </c>
    </row>
    <row r="2057" spans="1:12" x14ac:dyDescent="0.2">
      <c r="A2057" t="s">
        <v>11608</v>
      </c>
      <c r="B2057" t="s">
        <v>11609</v>
      </c>
      <c r="C2057" t="s">
        <v>1812</v>
      </c>
      <c r="E2057" t="s">
        <v>11610</v>
      </c>
      <c r="F2057">
        <v>4704</v>
      </c>
      <c r="G2057" t="s">
        <v>221</v>
      </c>
      <c r="H2057" t="s">
        <v>16</v>
      </c>
      <c r="I2057" t="s">
        <v>175</v>
      </c>
      <c r="J2057" t="s">
        <v>176</v>
      </c>
      <c r="K2057" t="s">
        <v>1809</v>
      </c>
      <c r="L2057" t="str">
        <f>HYPERLINK("https://business-monitor.ch/de/companies/1142056-jaba-s-glanzwerkstatt-anderegg?utm_source=oberaargau","PROFIL ANSEHEN")</f>
        <v>PROFIL ANSEHEN</v>
      </c>
    </row>
    <row r="2058" spans="1:12" x14ac:dyDescent="0.2">
      <c r="A2058" t="s">
        <v>3728</v>
      </c>
      <c r="B2058" t="s">
        <v>3729</v>
      </c>
      <c r="C2058" t="s">
        <v>1812</v>
      </c>
      <c r="E2058" t="s">
        <v>3730</v>
      </c>
      <c r="F2058">
        <v>4924</v>
      </c>
      <c r="G2058" t="s">
        <v>3727</v>
      </c>
      <c r="H2058" t="s">
        <v>16</v>
      </c>
      <c r="I2058" t="s">
        <v>2226</v>
      </c>
      <c r="J2058" t="s">
        <v>2227</v>
      </c>
      <c r="K2058" t="s">
        <v>1809</v>
      </c>
      <c r="L2058" t="str">
        <f>HYPERLINK("https://business-monitor.ch/de/companies/726202-wellness-kneipp-park-karin-jordi?utm_source=oberaargau","PROFIL ANSEHEN")</f>
        <v>PROFIL ANSEHEN</v>
      </c>
    </row>
    <row r="2059" spans="1:12" x14ac:dyDescent="0.2">
      <c r="A2059" t="s">
        <v>11696</v>
      </c>
      <c r="B2059" t="s">
        <v>11697</v>
      </c>
      <c r="C2059" t="s">
        <v>1812</v>
      </c>
      <c r="E2059" t="s">
        <v>7355</v>
      </c>
      <c r="F2059">
        <v>4704</v>
      </c>
      <c r="G2059" t="s">
        <v>221</v>
      </c>
      <c r="H2059" t="s">
        <v>16</v>
      </c>
      <c r="I2059" t="s">
        <v>824</v>
      </c>
      <c r="J2059" t="s">
        <v>825</v>
      </c>
      <c r="K2059" t="s">
        <v>1809</v>
      </c>
      <c r="L2059" t="str">
        <f>HYPERLINK("https://business-monitor.ch/de/companies/1150430-pizza-express-niederbipp-inh-kaya-caner?utm_source=oberaargau","PROFIL ANSEHEN")</f>
        <v>PROFIL ANSEHEN</v>
      </c>
    </row>
    <row r="2060" spans="1:12" x14ac:dyDescent="0.2">
      <c r="A2060" t="s">
        <v>9359</v>
      </c>
      <c r="B2060" t="s">
        <v>9360</v>
      </c>
      <c r="C2060" t="s">
        <v>84</v>
      </c>
      <c r="D2060" t="s">
        <v>9361</v>
      </c>
      <c r="E2060" t="s">
        <v>14492</v>
      </c>
      <c r="F2060">
        <v>4950</v>
      </c>
      <c r="G2060" t="s">
        <v>15</v>
      </c>
      <c r="H2060" t="s">
        <v>16</v>
      </c>
      <c r="I2060" t="s">
        <v>100</v>
      </c>
      <c r="J2060" t="s">
        <v>101</v>
      </c>
      <c r="K2060" t="s">
        <v>1809</v>
      </c>
      <c r="L2060" t="str">
        <f>HYPERLINK("https://business-monitor.ch/de/companies/70637-milchgenossenschaft-nyffel?utm_source=oberaargau","PROFIL ANSEHEN")</f>
        <v>PROFIL ANSEHEN</v>
      </c>
    </row>
    <row r="2061" spans="1:12" x14ac:dyDescent="0.2">
      <c r="A2061" t="s">
        <v>12672</v>
      </c>
      <c r="B2061" t="s">
        <v>12673</v>
      </c>
      <c r="C2061" t="s">
        <v>1812</v>
      </c>
      <c r="E2061" t="s">
        <v>12674</v>
      </c>
      <c r="F2061">
        <v>4922</v>
      </c>
      <c r="G2061" t="s">
        <v>1318</v>
      </c>
      <c r="H2061" t="s">
        <v>16</v>
      </c>
      <c r="I2061" t="s">
        <v>2365</v>
      </c>
      <c r="J2061" t="s">
        <v>2366</v>
      </c>
      <c r="K2061" t="s">
        <v>1809</v>
      </c>
      <c r="L2061" t="str">
        <f>HYPERLINK("https://business-monitor.ch/de/companies/1212296-troesch-transporte?utm_source=oberaargau","PROFIL ANSEHEN")</f>
        <v>PROFIL ANSEHEN</v>
      </c>
    </row>
    <row r="2062" spans="1:12" x14ac:dyDescent="0.2">
      <c r="A2062" t="s">
        <v>2744</v>
      </c>
      <c r="B2062" t="s">
        <v>2745</v>
      </c>
      <c r="C2062" t="s">
        <v>1922</v>
      </c>
      <c r="D2062" t="s">
        <v>2746</v>
      </c>
      <c r="E2062" t="s">
        <v>2747</v>
      </c>
      <c r="F2062">
        <v>4912</v>
      </c>
      <c r="G2062" t="s">
        <v>64</v>
      </c>
      <c r="H2062" t="s">
        <v>16</v>
      </c>
      <c r="I2062" t="s">
        <v>2748</v>
      </c>
      <c r="J2062" t="s">
        <v>2749</v>
      </c>
      <c r="K2062" t="s">
        <v>1809</v>
      </c>
      <c r="L2062" t="str">
        <f>HYPERLINK("https://business-monitor.ch/de/companies/451588-dr-med-rosemarie-hubler-stiftung-fuer-heimatlose-tiere?utm_source=oberaargau","PROFIL ANSEHEN")</f>
        <v>PROFIL ANSEHEN</v>
      </c>
    </row>
    <row r="2063" spans="1:12" x14ac:dyDescent="0.2">
      <c r="A2063" t="s">
        <v>12681</v>
      </c>
      <c r="B2063" t="s">
        <v>12682</v>
      </c>
      <c r="C2063" t="s">
        <v>202</v>
      </c>
      <c r="E2063" t="s">
        <v>4326</v>
      </c>
      <c r="F2063">
        <v>4900</v>
      </c>
      <c r="G2063" t="s">
        <v>41</v>
      </c>
      <c r="H2063" t="s">
        <v>16</v>
      </c>
      <c r="I2063" t="s">
        <v>232</v>
      </c>
      <c r="J2063" t="s">
        <v>233</v>
      </c>
      <c r="K2063" t="s">
        <v>1809</v>
      </c>
      <c r="L2063" t="str">
        <f>HYPERLINK("https://business-monitor.ch/de/companies/1212361-stadelmann-ad-interim-gmbh?utm_source=oberaargau","PROFIL ANSEHEN")</f>
        <v>PROFIL ANSEHEN</v>
      </c>
    </row>
    <row r="2064" spans="1:12" x14ac:dyDescent="0.2">
      <c r="A2064" t="s">
        <v>3439</v>
      </c>
      <c r="B2064" t="s">
        <v>3440</v>
      </c>
      <c r="C2064" t="s">
        <v>1812</v>
      </c>
      <c r="E2064" t="s">
        <v>3441</v>
      </c>
      <c r="F2064">
        <v>3380</v>
      </c>
      <c r="G2064" t="s">
        <v>29</v>
      </c>
      <c r="H2064" t="s">
        <v>16</v>
      </c>
      <c r="I2064" t="s">
        <v>838</v>
      </c>
      <c r="J2064" t="s">
        <v>839</v>
      </c>
      <c r="K2064" t="s">
        <v>1809</v>
      </c>
      <c r="L2064" t="str">
        <f>HYPERLINK("https://business-monitor.ch/de/companies/176556-ka-keck-katrin-brielmaier?utm_source=oberaargau","PROFIL ANSEHEN")</f>
        <v>PROFIL ANSEHEN</v>
      </c>
    </row>
    <row r="2065" spans="1:12" x14ac:dyDescent="0.2">
      <c r="A2065" t="s">
        <v>12985</v>
      </c>
      <c r="B2065" t="s">
        <v>12986</v>
      </c>
      <c r="C2065" t="s">
        <v>202</v>
      </c>
      <c r="E2065" t="s">
        <v>4867</v>
      </c>
      <c r="F2065">
        <v>3360</v>
      </c>
      <c r="G2065" t="s">
        <v>35</v>
      </c>
      <c r="H2065" t="s">
        <v>16</v>
      </c>
      <c r="I2065" t="s">
        <v>331</v>
      </c>
      <c r="J2065" t="s">
        <v>332</v>
      </c>
      <c r="K2065" t="s">
        <v>1809</v>
      </c>
      <c r="L2065" t="str">
        <f>HYPERLINK("https://business-monitor.ch/de/companies/1237662-rubin-mechanik-gmbh?utm_source=oberaargau","PROFIL ANSEHEN")</f>
        <v>PROFIL ANSEHEN</v>
      </c>
    </row>
    <row r="2066" spans="1:12" x14ac:dyDescent="0.2">
      <c r="A2066" t="s">
        <v>12828</v>
      </c>
      <c r="B2066" t="s">
        <v>12829</v>
      </c>
      <c r="C2066" t="s">
        <v>202</v>
      </c>
      <c r="E2066" t="s">
        <v>12830</v>
      </c>
      <c r="F2066">
        <v>4938</v>
      </c>
      <c r="G2066" t="s">
        <v>618</v>
      </c>
      <c r="H2066" t="s">
        <v>16</v>
      </c>
      <c r="I2066" t="s">
        <v>642</v>
      </c>
      <c r="J2066" t="s">
        <v>643</v>
      </c>
      <c r="K2066" t="s">
        <v>1809</v>
      </c>
      <c r="L2066" t="str">
        <f>HYPERLINK("https://business-monitor.ch/de/companies/1215278-schweden-garage-leu-gmbh?utm_source=oberaargau","PROFIL ANSEHEN")</f>
        <v>PROFIL ANSEHEN</v>
      </c>
    </row>
    <row r="2067" spans="1:12" x14ac:dyDescent="0.2">
      <c r="A2067" t="s">
        <v>10191</v>
      </c>
      <c r="B2067" t="s">
        <v>10192</v>
      </c>
      <c r="C2067" t="s">
        <v>202</v>
      </c>
      <c r="E2067" t="s">
        <v>2568</v>
      </c>
      <c r="F2067">
        <v>3363</v>
      </c>
      <c r="G2067" t="s">
        <v>1367</v>
      </c>
      <c r="H2067" t="s">
        <v>16</v>
      </c>
      <c r="I2067" t="s">
        <v>134</v>
      </c>
      <c r="J2067" t="s">
        <v>135</v>
      </c>
      <c r="K2067" t="s">
        <v>1809</v>
      </c>
      <c r="L2067" t="str">
        <f>HYPERLINK("https://business-monitor.ch/de/companies/628502-eltec-3000-gmbh?utm_source=oberaargau","PROFIL ANSEHEN")</f>
        <v>PROFIL ANSEHEN</v>
      </c>
    </row>
    <row r="2068" spans="1:12" x14ac:dyDescent="0.2">
      <c r="A2068" t="s">
        <v>5948</v>
      </c>
      <c r="B2068" t="s">
        <v>5949</v>
      </c>
      <c r="C2068" t="s">
        <v>202</v>
      </c>
      <c r="E2068" t="s">
        <v>5950</v>
      </c>
      <c r="F2068">
        <v>4536</v>
      </c>
      <c r="G2068" t="s">
        <v>1395</v>
      </c>
      <c r="H2068" t="s">
        <v>16</v>
      </c>
      <c r="I2068" t="s">
        <v>24</v>
      </c>
      <c r="J2068" t="s">
        <v>25</v>
      </c>
      <c r="K2068" t="s">
        <v>1809</v>
      </c>
      <c r="L2068" t="str">
        <f>HYPERLINK("https://business-monitor.ch/de/companies/476563-iktech-dienstleistungen-gmbh?utm_source=oberaargau","PROFIL ANSEHEN")</f>
        <v>PROFIL ANSEHEN</v>
      </c>
    </row>
    <row r="2069" spans="1:12" x14ac:dyDescent="0.2">
      <c r="A2069" t="s">
        <v>11391</v>
      </c>
      <c r="B2069" t="s">
        <v>11392</v>
      </c>
      <c r="C2069" t="s">
        <v>202</v>
      </c>
      <c r="E2069" t="s">
        <v>4262</v>
      </c>
      <c r="F2069">
        <v>4900</v>
      </c>
      <c r="G2069" t="s">
        <v>41</v>
      </c>
      <c r="H2069" t="s">
        <v>16</v>
      </c>
      <c r="I2069" t="s">
        <v>824</v>
      </c>
      <c r="J2069" t="s">
        <v>825</v>
      </c>
      <c r="K2069" t="s">
        <v>1809</v>
      </c>
      <c r="L2069" t="str">
        <f>HYPERLINK("https://business-monitor.ch/de/companies/1131542-porzi-gmbh?utm_source=oberaargau","PROFIL ANSEHEN")</f>
        <v>PROFIL ANSEHEN</v>
      </c>
    </row>
    <row r="2070" spans="1:12" x14ac:dyDescent="0.2">
      <c r="A2070" t="s">
        <v>13702</v>
      </c>
      <c r="B2070" t="s">
        <v>13703</v>
      </c>
      <c r="C2070" t="s">
        <v>1812</v>
      </c>
      <c r="E2070" t="s">
        <v>13704</v>
      </c>
      <c r="F2070">
        <v>4537</v>
      </c>
      <c r="G2070" t="s">
        <v>113</v>
      </c>
      <c r="H2070" t="s">
        <v>16</v>
      </c>
      <c r="I2070" t="s">
        <v>2555</v>
      </c>
      <c r="J2070" t="s">
        <v>2556</v>
      </c>
      <c r="K2070" t="s">
        <v>1809</v>
      </c>
      <c r="L2070" t="str">
        <f>HYPERLINK("https://business-monitor.ch/de/companies/718173-kaviani-technoplast?utm_source=oberaargau","PROFIL ANSEHEN")</f>
        <v>PROFIL ANSEHEN</v>
      </c>
    </row>
    <row r="2071" spans="1:12" x14ac:dyDescent="0.2">
      <c r="A2071" t="s">
        <v>12423</v>
      </c>
      <c r="B2071" t="s">
        <v>12424</v>
      </c>
      <c r="C2071" t="s">
        <v>1812</v>
      </c>
      <c r="E2071" t="s">
        <v>7262</v>
      </c>
      <c r="F2071">
        <v>4914</v>
      </c>
      <c r="G2071" t="s">
        <v>105</v>
      </c>
      <c r="H2071" t="s">
        <v>16</v>
      </c>
      <c r="I2071" t="s">
        <v>642</v>
      </c>
      <c r="J2071" t="s">
        <v>643</v>
      </c>
      <c r="K2071" t="s">
        <v>1809</v>
      </c>
      <c r="L2071" t="str">
        <f>HYPERLINK("https://business-monitor.ch/de/companies/1198498-carpassion-amrein?utm_source=oberaargau","PROFIL ANSEHEN")</f>
        <v>PROFIL ANSEHEN</v>
      </c>
    </row>
    <row r="2072" spans="1:12" x14ac:dyDescent="0.2">
      <c r="A2072" t="s">
        <v>14096</v>
      </c>
      <c r="B2072" t="s">
        <v>14097</v>
      </c>
      <c r="C2072" t="s">
        <v>1812</v>
      </c>
      <c r="E2072" t="s">
        <v>14098</v>
      </c>
      <c r="F2072">
        <v>4704</v>
      </c>
      <c r="G2072" t="s">
        <v>221</v>
      </c>
      <c r="H2072" t="s">
        <v>16</v>
      </c>
      <c r="I2072" t="s">
        <v>1860</v>
      </c>
      <c r="J2072" t="s">
        <v>1861</v>
      </c>
      <c r="K2072" t="s">
        <v>1809</v>
      </c>
      <c r="L2072" t="str">
        <f>HYPERLINK("https://business-monitor.ch/de/companies/1285306-morina-barbershop?utm_source=oberaargau","PROFIL ANSEHEN")</f>
        <v>PROFIL ANSEHEN</v>
      </c>
    </row>
    <row r="2073" spans="1:12" x14ac:dyDescent="0.2">
      <c r="A2073" t="s">
        <v>11237</v>
      </c>
      <c r="B2073" t="s">
        <v>11238</v>
      </c>
      <c r="C2073" t="s">
        <v>1812</v>
      </c>
      <c r="E2073" t="s">
        <v>11239</v>
      </c>
      <c r="F2073">
        <v>4900</v>
      </c>
      <c r="G2073" t="s">
        <v>41</v>
      </c>
      <c r="H2073" t="s">
        <v>16</v>
      </c>
      <c r="I2073" t="s">
        <v>1097</v>
      </c>
      <c r="J2073" t="s">
        <v>1098</v>
      </c>
      <c r="K2073" t="s">
        <v>1809</v>
      </c>
      <c r="L2073" t="str">
        <f>HYPERLINK("https://business-monitor.ch/de/companies/1127007-bidahunga-s-qeristore?utm_source=oberaargau","PROFIL ANSEHEN")</f>
        <v>PROFIL ANSEHEN</v>
      </c>
    </row>
    <row r="2074" spans="1:12" x14ac:dyDescent="0.2">
      <c r="A2074" t="s">
        <v>4251</v>
      </c>
      <c r="B2074" t="s">
        <v>4252</v>
      </c>
      <c r="C2074" t="s">
        <v>202</v>
      </c>
      <c r="D2074" t="s">
        <v>4017</v>
      </c>
      <c r="E2074" t="s">
        <v>4018</v>
      </c>
      <c r="F2074">
        <v>4900</v>
      </c>
      <c r="G2074" t="s">
        <v>41</v>
      </c>
      <c r="H2074" t="s">
        <v>16</v>
      </c>
      <c r="I2074" t="s">
        <v>3493</v>
      </c>
      <c r="J2074" t="s">
        <v>3494</v>
      </c>
      <c r="K2074" t="s">
        <v>1809</v>
      </c>
      <c r="L2074" t="str">
        <f>HYPERLINK("https://business-monitor.ch/de/companies/988399-belena-beratungen-gmbh?utm_source=oberaargau","PROFIL ANSEHEN")</f>
        <v>PROFIL ANSEHEN</v>
      </c>
    </row>
    <row r="2075" spans="1:12" x14ac:dyDescent="0.2">
      <c r="A2075" t="s">
        <v>13742</v>
      </c>
      <c r="B2075" t="s">
        <v>13743</v>
      </c>
      <c r="C2075" t="s">
        <v>13</v>
      </c>
      <c r="E2075" t="s">
        <v>3913</v>
      </c>
      <c r="F2075">
        <v>3360</v>
      </c>
      <c r="G2075" t="s">
        <v>35</v>
      </c>
      <c r="H2075" t="s">
        <v>16</v>
      </c>
      <c r="I2075" t="s">
        <v>2197</v>
      </c>
      <c r="J2075" t="s">
        <v>2198</v>
      </c>
      <c r="K2075" t="s">
        <v>1809</v>
      </c>
      <c r="L2075" t="str">
        <f>HYPERLINK("https://business-monitor.ch/de/companies/1266980-zahnarztpraxis-geissbuehler-nikitovic-ag?utm_source=oberaargau","PROFIL ANSEHEN")</f>
        <v>PROFIL ANSEHEN</v>
      </c>
    </row>
    <row r="2076" spans="1:12" x14ac:dyDescent="0.2">
      <c r="A2076" t="s">
        <v>14493</v>
      </c>
      <c r="B2076" t="s">
        <v>14494</v>
      </c>
      <c r="C2076" t="s">
        <v>1827</v>
      </c>
      <c r="E2076" t="s">
        <v>14495</v>
      </c>
      <c r="F2076">
        <v>4900</v>
      </c>
      <c r="G2076" t="s">
        <v>41</v>
      </c>
      <c r="H2076" t="s">
        <v>16</v>
      </c>
      <c r="I2076" t="s">
        <v>2665</v>
      </c>
      <c r="J2076" t="s">
        <v>2666</v>
      </c>
      <c r="K2076" t="s">
        <v>1809</v>
      </c>
      <c r="L2076" t="str">
        <f>HYPERLINK("https://business-monitor.ch/de/companies/1304554-mindupnet-klg?utm_source=oberaargau","PROFIL ANSEHEN")</f>
        <v>PROFIL ANSEHEN</v>
      </c>
    </row>
    <row r="2077" spans="1:12" x14ac:dyDescent="0.2">
      <c r="A2077" t="s">
        <v>6690</v>
      </c>
      <c r="B2077" t="s">
        <v>6691</v>
      </c>
      <c r="C2077" t="s">
        <v>13</v>
      </c>
      <c r="D2077" t="s">
        <v>6692</v>
      </c>
      <c r="E2077" t="s">
        <v>14496</v>
      </c>
      <c r="F2077">
        <v>4917</v>
      </c>
      <c r="G2077" t="s">
        <v>376</v>
      </c>
      <c r="H2077" t="s">
        <v>16</v>
      </c>
      <c r="I2077" t="s">
        <v>157</v>
      </c>
      <c r="J2077" t="s">
        <v>158</v>
      </c>
      <c r="K2077" t="s">
        <v>1809</v>
      </c>
      <c r="L2077" t="str">
        <f>HYPERLINK("https://business-monitor.ch/de/companies/170787-peitag-ag?utm_source=oberaargau","PROFIL ANSEHEN")</f>
        <v>PROFIL ANSEHEN</v>
      </c>
    </row>
    <row r="2078" spans="1:12" x14ac:dyDescent="0.2">
      <c r="A2078" t="s">
        <v>13364</v>
      </c>
      <c r="B2078" t="s">
        <v>13365</v>
      </c>
      <c r="C2078" t="s">
        <v>1812</v>
      </c>
      <c r="E2078" t="s">
        <v>13366</v>
      </c>
      <c r="F2078">
        <v>4952</v>
      </c>
      <c r="G2078" t="s">
        <v>474</v>
      </c>
      <c r="H2078" t="s">
        <v>16</v>
      </c>
      <c r="I2078" t="s">
        <v>1818</v>
      </c>
      <c r="J2078" t="s">
        <v>1819</v>
      </c>
      <c r="K2078" t="s">
        <v>1809</v>
      </c>
      <c r="L2078" t="str">
        <f>HYPERLINK("https://business-monitor.ch/de/companies/1242965-halter-consulting?utm_source=oberaargau","PROFIL ANSEHEN")</f>
        <v>PROFIL ANSEHEN</v>
      </c>
    </row>
    <row r="2079" spans="1:12" x14ac:dyDescent="0.2">
      <c r="A2079" t="s">
        <v>8727</v>
      </c>
      <c r="B2079" t="s">
        <v>8728</v>
      </c>
      <c r="C2079" t="s">
        <v>202</v>
      </c>
      <c r="E2079" t="s">
        <v>7632</v>
      </c>
      <c r="F2079">
        <v>4934</v>
      </c>
      <c r="G2079" t="s">
        <v>670</v>
      </c>
      <c r="H2079" t="s">
        <v>16</v>
      </c>
      <c r="I2079" t="s">
        <v>642</v>
      </c>
      <c r="J2079" t="s">
        <v>643</v>
      </c>
      <c r="K2079" t="s">
        <v>1809</v>
      </c>
      <c r="L2079" t="str">
        <f>HYPERLINK("https://business-monitor.ch/de/companies/388722-phil-s-targed-tuning-gmbh?utm_source=oberaargau","PROFIL ANSEHEN")</f>
        <v>PROFIL ANSEHEN</v>
      </c>
    </row>
    <row r="2080" spans="1:12" x14ac:dyDescent="0.2">
      <c r="A2080" t="s">
        <v>11650</v>
      </c>
      <c r="B2080" t="s">
        <v>11651</v>
      </c>
      <c r="C2080" t="s">
        <v>202</v>
      </c>
      <c r="E2080" t="s">
        <v>2159</v>
      </c>
      <c r="F2080">
        <v>3380</v>
      </c>
      <c r="G2080" t="s">
        <v>29</v>
      </c>
      <c r="H2080" t="s">
        <v>16</v>
      </c>
      <c r="I2080" t="s">
        <v>475</v>
      </c>
      <c r="J2080" t="s">
        <v>476</v>
      </c>
      <c r="K2080" t="s">
        <v>1809</v>
      </c>
      <c r="L2080" t="str">
        <f>HYPERLINK("https://business-monitor.ch/de/companies/1154101-santus-swiss-gmbh?utm_source=oberaargau","PROFIL ANSEHEN")</f>
        <v>PROFIL ANSEHEN</v>
      </c>
    </row>
    <row r="2081" spans="1:12" x14ac:dyDescent="0.2">
      <c r="A2081" t="s">
        <v>9187</v>
      </c>
      <c r="B2081" t="s">
        <v>9188</v>
      </c>
      <c r="C2081" t="s">
        <v>13</v>
      </c>
      <c r="E2081" t="s">
        <v>1905</v>
      </c>
      <c r="F2081">
        <v>3380</v>
      </c>
      <c r="G2081" t="s">
        <v>29</v>
      </c>
      <c r="H2081" t="s">
        <v>16</v>
      </c>
      <c r="I2081" t="s">
        <v>854</v>
      </c>
      <c r="J2081" t="s">
        <v>855</v>
      </c>
      <c r="K2081" t="s">
        <v>1809</v>
      </c>
      <c r="L2081" t="str">
        <f>HYPERLINK("https://business-monitor.ch/de/companies/155073-vemag-computer-ag?utm_source=oberaargau","PROFIL ANSEHEN")</f>
        <v>PROFIL ANSEHEN</v>
      </c>
    </row>
    <row r="2082" spans="1:12" x14ac:dyDescent="0.2">
      <c r="A2082" t="s">
        <v>7816</v>
      </c>
      <c r="B2082" t="s">
        <v>7817</v>
      </c>
      <c r="C2082" t="s">
        <v>202</v>
      </c>
      <c r="E2082" t="s">
        <v>7818</v>
      </c>
      <c r="F2082">
        <v>4900</v>
      </c>
      <c r="G2082" t="s">
        <v>41</v>
      </c>
      <c r="H2082" t="s">
        <v>16</v>
      </c>
      <c r="I2082" t="s">
        <v>551</v>
      </c>
      <c r="J2082" t="s">
        <v>552</v>
      </c>
      <c r="K2082" t="s">
        <v>1809</v>
      </c>
      <c r="L2082" t="str">
        <f>HYPERLINK("https://business-monitor.ch/de/companies/540685-lanstein-gmbh?utm_source=oberaargau","PROFIL ANSEHEN")</f>
        <v>PROFIL ANSEHEN</v>
      </c>
    </row>
    <row r="2083" spans="1:12" x14ac:dyDescent="0.2">
      <c r="A2083" t="s">
        <v>14183</v>
      </c>
      <c r="B2083" t="s">
        <v>14184</v>
      </c>
      <c r="C2083" t="s">
        <v>202</v>
      </c>
      <c r="E2083" t="s">
        <v>2341</v>
      </c>
      <c r="F2083">
        <v>4900</v>
      </c>
      <c r="G2083" t="s">
        <v>41</v>
      </c>
      <c r="H2083" t="s">
        <v>16</v>
      </c>
      <c r="I2083" t="s">
        <v>4940</v>
      </c>
      <c r="J2083" t="s">
        <v>4941</v>
      </c>
      <c r="K2083" t="s">
        <v>1809</v>
      </c>
      <c r="L2083" t="str">
        <f>HYPERLINK("https://business-monitor.ch/de/companies/1286907-psychotherapie-praxis-fabienne-soguel-dit-piquard-gmbh?utm_source=oberaargau","PROFIL ANSEHEN")</f>
        <v>PROFIL ANSEHEN</v>
      </c>
    </row>
    <row r="2084" spans="1:12" x14ac:dyDescent="0.2">
      <c r="A2084" t="s">
        <v>13119</v>
      </c>
      <c r="B2084" t="s">
        <v>13120</v>
      </c>
      <c r="C2084" t="s">
        <v>1812</v>
      </c>
      <c r="E2084" t="s">
        <v>13121</v>
      </c>
      <c r="F2084">
        <v>4917</v>
      </c>
      <c r="G2084" t="s">
        <v>376</v>
      </c>
      <c r="H2084" t="s">
        <v>16</v>
      </c>
      <c r="I2084" t="s">
        <v>1062</v>
      </c>
      <c r="J2084" t="s">
        <v>1063</v>
      </c>
      <c r="K2084" t="s">
        <v>1809</v>
      </c>
      <c r="L2084" t="str">
        <f>HYPERLINK("https://business-monitor.ch/de/companies/1231453-r-benedeczki-bau-renovationen?utm_source=oberaargau","PROFIL ANSEHEN")</f>
        <v>PROFIL ANSEHEN</v>
      </c>
    </row>
    <row r="2085" spans="1:12" x14ac:dyDescent="0.2">
      <c r="A2085" t="s">
        <v>12973</v>
      </c>
      <c r="B2085" t="s">
        <v>12974</v>
      </c>
      <c r="C2085" t="s">
        <v>13</v>
      </c>
      <c r="D2085" t="s">
        <v>12975</v>
      </c>
      <c r="E2085" t="s">
        <v>3316</v>
      </c>
      <c r="F2085">
        <v>3360</v>
      </c>
      <c r="G2085" t="s">
        <v>35</v>
      </c>
      <c r="H2085" t="s">
        <v>16</v>
      </c>
      <c r="I2085" t="s">
        <v>182</v>
      </c>
      <c r="J2085" t="s">
        <v>183</v>
      </c>
      <c r="K2085" t="s">
        <v>1809</v>
      </c>
      <c r="L2085" t="str">
        <f>HYPERLINK("https://business-monitor.ch/de/companies/1240374-20-m-22-holding-ag?utm_source=oberaargau","PROFIL ANSEHEN")</f>
        <v>PROFIL ANSEHEN</v>
      </c>
    </row>
    <row r="2086" spans="1:12" x14ac:dyDescent="0.2">
      <c r="A2086" t="s">
        <v>5111</v>
      </c>
      <c r="B2086" t="s">
        <v>5112</v>
      </c>
      <c r="C2086" t="s">
        <v>1812</v>
      </c>
      <c r="E2086" t="s">
        <v>419</v>
      </c>
      <c r="F2086">
        <v>3373</v>
      </c>
      <c r="G2086" t="s">
        <v>2697</v>
      </c>
      <c r="H2086" t="s">
        <v>16</v>
      </c>
      <c r="I2086" t="s">
        <v>542</v>
      </c>
      <c r="J2086" t="s">
        <v>543</v>
      </c>
      <c r="K2086" t="s">
        <v>1809</v>
      </c>
      <c r="L2086" t="str">
        <f>HYPERLINK("https://business-monitor.ch/de/companies/158450-spenglerei-grogg?utm_source=oberaargau","PROFIL ANSEHEN")</f>
        <v>PROFIL ANSEHEN</v>
      </c>
    </row>
    <row r="2087" spans="1:12" x14ac:dyDescent="0.2">
      <c r="A2087" t="s">
        <v>3756</v>
      </c>
      <c r="B2087" t="s">
        <v>3757</v>
      </c>
      <c r="C2087" t="s">
        <v>1922</v>
      </c>
      <c r="E2087" t="s">
        <v>14497</v>
      </c>
      <c r="F2087">
        <v>4922</v>
      </c>
      <c r="G2087" t="s">
        <v>1318</v>
      </c>
      <c r="H2087" t="s">
        <v>16</v>
      </c>
      <c r="I2087" t="s">
        <v>906</v>
      </c>
      <c r="J2087" t="s">
        <v>907</v>
      </c>
      <c r="K2087" t="s">
        <v>1809</v>
      </c>
      <c r="L2087" t="str">
        <f>HYPERLINK("https://business-monitor.ch/de/companies/171647-stiftung-schloss-thunstetten?utm_source=oberaargau","PROFIL ANSEHEN")</f>
        <v>PROFIL ANSEHEN</v>
      </c>
    </row>
    <row r="2088" spans="1:12" x14ac:dyDescent="0.2">
      <c r="A2088" t="s">
        <v>13424</v>
      </c>
      <c r="B2088" t="s">
        <v>13425</v>
      </c>
      <c r="C2088" t="s">
        <v>1812</v>
      </c>
      <c r="E2088" t="s">
        <v>13426</v>
      </c>
      <c r="F2088">
        <v>4955</v>
      </c>
      <c r="G2088" t="s">
        <v>684</v>
      </c>
      <c r="H2088" t="s">
        <v>16</v>
      </c>
      <c r="I2088" t="s">
        <v>1401</v>
      </c>
      <c r="J2088" t="s">
        <v>1402</v>
      </c>
      <c r="K2088" t="s">
        <v>1809</v>
      </c>
      <c r="L2088" t="str">
        <f>HYPERLINK("https://business-monitor.ch/de/companies/1242384-haerzwaerch-anja-jaeggi?utm_source=oberaargau","PROFIL ANSEHEN")</f>
        <v>PROFIL ANSEHEN</v>
      </c>
    </row>
    <row r="2089" spans="1:12" x14ac:dyDescent="0.2">
      <c r="A2089" t="s">
        <v>5078</v>
      </c>
      <c r="B2089" t="s">
        <v>5079</v>
      </c>
      <c r="C2089" t="s">
        <v>2258</v>
      </c>
      <c r="E2089" t="s">
        <v>14498</v>
      </c>
      <c r="F2089">
        <v>3360</v>
      </c>
      <c r="G2089" t="s">
        <v>35</v>
      </c>
      <c r="H2089" t="s">
        <v>16</v>
      </c>
      <c r="I2089" t="s">
        <v>5080</v>
      </c>
      <c r="J2089" t="s">
        <v>5081</v>
      </c>
      <c r="K2089" t="s">
        <v>1809</v>
      </c>
      <c r="L2089" t="str">
        <f>HYPERLINK("https://business-monitor.ch/de/companies/408012-kinderhut-traegerverein-fuer-familienergaenzende-kinderbetreuung-herzogenbuchsee-und-umgebung?utm_source=oberaargau","PROFIL ANSEHEN")</f>
        <v>PROFIL ANSEHEN</v>
      </c>
    </row>
    <row r="2090" spans="1:12" x14ac:dyDescent="0.2">
      <c r="A2090" t="s">
        <v>8506</v>
      </c>
      <c r="B2090" t="s">
        <v>8507</v>
      </c>
      <c r="C2090" t="s">
        <v>13</v>
      </c>
      <c r="E2090" t="s">
        <v>1796</v>
      </c>
      <c r="F2090">
        <v>4900</v>
      </c>
      <c r="G2090" t="s">
        <v>41</v>
      </c>
      <c r="H2090" t="s">
        <v>16</v>
      </c>
      <c r="I2090" t="s">
        <v>2587</v>
      </c>
      <c r="J2090" t="s">
        <v>2588</v>
      </c>
      <c r="K2090" t="s">
        <v>1809</v>
      </c>
      <c r="L2090" t="str">
        <f>HYPERLINK("https://business-monitor.ch/de/companies/505643-kuert-druck-ag-langenthal?utm_source=oberaargau","PROFIL ANSEHEN")</f>
        <v>PROFIL ANSEHEN</v>
      </c>
    </row>
    <row r="2091" spans="1:12" x14ac:dyDescent="0.2">
      <c r="A2091" t="s">
        <v>13725</v>
      </c>
      <c r="B2091" t="s">
        <v>13726</v>
      </c>
      <c r="C2091" t="s">
        <v>1812</v>
      </c>
      <c r="E2091" t="s">
        <v>13727</v>
      </c>
      <c r="F2091">
        <v>4914</v>
      </c>
      <c r="G2091" t="s">
        <v>105</v>
      </c>
      <c r="H2091" t="s">
        <v>16</v>
      </c>
      <c r="I2091" t="s">
        <v>433</v>
      </c>
      <c r="J2091" t="s">
        <v>434</v>
      </c>
      <c r="K2091" t="s">
        <v>1809</v>
      </c>
      <c r="L2091" t="str">
        <f>HYPERLINK("https://business-monitor.ch/de/companies/1256677-atelier-gruetter?utm_source=oberaargau","PROFIL ANSEHEN")</f>
        <v>PROFIL ANSEHEN</v>
      </c>
    </row>
    <row r="2092" spans="1:12" x14ac:dyDescent="0.2">
      <c r="A2092" t="s">
        <v>6011</v>
      </c>
      <c r="B2092" t="s">
        <v>6012</v>
      </c>
      <c r="C2092" t="s">
        <v>13</v>
      </c>
      <c r="E2092" t="s">
        <v>2969</v>
      </c>
      <c r="F2092">
        <v>4536</v>
      </c>
      <c r="G2092" t="s">
        <v>1395</v>
      </c>
      <c r="H2092" t="s">
        <v>16</v>
      </c>
      <c r="I2092" t="s">
        <v>966</v>
      </c>
      <c r="J2092" t="s">
        <v>967</v>
      </c>
      <c r="K2092" t="s">
        <v>1809</v>
      </c>
      <c r="L2092" t="str">
        <f>HYPERLINK("https://business-monitor.ch/de/companies/443516-arenda-ag?utm_source=oberaargau","PROFIL ANSEHEN")</f>
        <v>PROFIL ANSEHEN</v>
      </c>
    </row>
    <row r="2093" spans="1:12" x14ac:dyDescent="0.2">
      <c r="A2093" t="s">
        <v>13506</v>
      </c>
      <c r="B2093" t="s">
        <v>13507</v>
      </c>
      <c r="C2093" t="s">
        <v>13</v>
      </c>
      <c r="D2093" t="s">
        <v>13508</v>
      </c>
      <c r="E2093" t="s">
        <v>2470</v>
      </c>
      <c r="F2093">
        <v>3360</v>
      </c>
      <c r="G2093" t="s">
        <v>35</v>
      </c>
      <c r="H2093" t="s">
        <v>16</v>
      </c>
      <c r="I2093" t="s">
        <v>182</v>
      </c>
      <c r="J2093" t="s">
        <v>183</v>
      </c>
      <c r="K2093" t="s">
        <v>1809</v>
      </c>
      <c r="L2093" t="str">
        <f>HYPERLINK("https://business-monitor.ch/de/companies/1246735-duerrenmatt-holding-ag?utm_source=oberaargau","PROFIL ANSEHEN")</f>
        <v>PROFIL ANSEHEN</v>
      </c>
    </row>
    <row r="2094" spans="1:12" x14ac:dyDescent="0.2">
      <c r="A2094" t="s">
        <v>13467</v>
      </c>
      <c r="B2094" t="s">
        <v>13468</v>
      </c>
      <c r="C2094" t="s">
        <v>202</v>
      </c>
      <c r="E2094" t="s">
        <v>13469</v>
      </c>
      <c r="F2094">
        <v>4914</v>
      </c>
      <c r="G2094" t="s">
        <v>105</v>
      </c>
      <c r="H2094" t="s">
        <v>16</v>
      </c>
      <c r="I2094" t="s">
        <v>232</v>
      </c>
      <c r="J2094" t="s">
        <v>233</v>
      </c>
      <c r="K2094" t="s">
        <v>1809</v>
      </c>
      <c r="L2094" t="str">
        <f>HYPERLINK("https://business-monitor.ch/de/companies/1249409-liechti-trust-office-gmbh?utm_source=oberaargau","PROFIL ANSEHEN")</f>
        <v>PROFIL ANSEHEN</v>
      </c>
    </row>
    <row r="2095" spans="1:12" x14ac:dyDescent="0.2">
      <c r="A2095" t="s">
        <v>6121</v>
      </c>
      <c r="B2095" t="s">
        <v>6122</v>
      </c>
      <c r="C2095" t="s">
        <v>13</v>
      </c>
      <c r="E2095" t="s">
        <v>1365</v>
      </c>
      <c r="F2095">
        <v>4923</v>
      </c>
      <c r="G2095" t="s">
        <v>732</v>
      </c>
      <c r="H2095" t="s">
        <v>16</v>
      </c>
      <c r="I2095" t="s">
        <v>331</v>
      </c>
      <c r="J2095" t="s">
        <v>332</v>
      </c>
      <c r="K2095" t="s">
        <v>1809</v>
      </c>
      <c r="L2095" t="str">
        <f>HYPERLINK("https://business-monitor.ch/de/companies/398173-hf-mechanik-ag?utm_source=oberaargau","PROFIL ANSEHEN")</f>
        <v>PROFIL ANSEHEN</v>
      </c>
    </row>
    <row r="2096" spans="1:12" x14ac:dyDescent="0.2">
      <c r="A2096" t="s">
        <v>10044</v>
      </c>
      <c r="B2096" t="s">
        <v>10045</v>
      </c>
      <c r="C2096" t="s">
        <v>13</v>
      </c>
      <c r="D2096" t="s">
        <v>10046</v>
      </c>
      <c r="E2096" t="s">
        <v>3391</v>
      </c>
      <c r="F2096">
        <v>3360</v>
      </c>
      <c r="G2096" t="s">
        <v>35</v>
      </c>
      <c r="H2096" t="s">
        <v>16</v>
      </c>
      <c r="I2096" t="s">
        <v>186</v>
      </c>
      <c r="J2096" t="s">
        <v>187</v>
      </c>
      <c r="K2096" t="s">
        <v>1809</v>
      </c>
      <c r="L2096" t="str">
        <f>HYPERLINK("https://business-monitor.ch/de/companies/702828-gj-beteiligungs-ag?utm_source=oberaargau","PROFIL ANSEHEN")</f>
        <v>PROFIL ANSEHEN</v>
      </c>
    </row>
    <row r="2097" spans="1:12" x14ac:dyDescent="0.2">
      <c r="A2097" t="s">
        <v>2264</v>
      </c>
      <c r="B2097" t="s">
        <v>2265</v>
      </c>
      <c r="C2097" t="s">
        <v>202</v>
      </c>
      <c r="E2097" t="s">
        <v>2266</v>
      </c>
      <c r="F2097">
        <v>4950</v>
      </c>
      <c r="G2097" t="s">
        <v>15</v>
      </c>
      <c r="H2097" t="s">
        <v>16</v>
      </c>
      <c r="I2097" t="s">
        <v>1535</v>
      </c>
      <c r="J2097" t="s">
        <v>1536</v>
      </c>
      <c r="K2097" t="s">
        <v>1809</v>
      </c>
      <c r="L2097" t="str">
        <f>HYPERLINK("https://business-monitor.ch/de/companies/364603-eberhart-gartenbau-gmbh?utm_source=oberaargau","PROFIL ANSEHEN")</f>
        <v>PROFIL ANSEHEN</v>
      </c>
    </row>
    <row r="2098" spans="1:12" x14ac:dyDescent="0.2">
      <c r="A2098" t="s">
        <v>7105</v>
      </c>
      <c r="B2098" t="s">
        <v>7106</v>
      </c>
      <c r="C2098" t="s">
        <v>202</v>
      </c>
      <c r="E2098" t="s">
        <v>7107</v>
      </c>
      <c r="F2098">
        <v>3380</v>
      </c>
      <c r="G2098" t="s">
        <v>29</v>
      </c>
      <c r="H2098" t="s">
        <v>16</v>
      </c>
      <c r="I2098" t="s">
        <v>2226</v>
      </c>
      <c r="J2098" t="s">
        <v>2227</v>
      </c>
      <c r="K2098" t="s">
        <v>1809</v>
      </c>
      <c r="L2098" t="str">
        <f>HYPERLINK("https://business-monitor.ch/de/companies/1030894-kinetik-physiotherapie-gmbh?utm_source=oberaargau","PROFIL ANSEHEN")</f>
        <v>PROFIL ANSEHEN</v>
      </c>
    </row>
    <row r="2099" spans="1:12" x14ac:dyDescent="0.2">
      <c r="A2099" t="s">
        <v>8947</v>
      </c>
      <c r="B2099" t="s">
        <v>8948</v>
      </c>
      <c r="C2099" t="s">
        <v>1922</v>
      </c>
      <c r="D2099" t="s">
        <v>8949</v>
      </c>
      <c r="E2099" t="s">
        <v>8950</v>
      </c>
      <c r="F2099">
        <v>4923</v>
      </c>
      <c r="G2099" t="s">
        <v>732</v>
      </c>
      <c r="H2099" t="s">
        <v>16</v>
      </c>
      <c r="I2099" t="s">
        <v>2912</v>
      </c>
      <c r="J2099" t="s">
        <v>2913</v>
      </c>
      <c r="K2099" t="s">
        <v>1809</v>
      </c>
      <c r="L2099" t="str">
        <f>HYPERLINK("https://business-monitor.ch/de/companies/263740-stiftung-erich-schoeni?utm_source=oberaargau","PROFIL ANSEHEN")</f>
        <v>PROFIL ANSEHEN</v>
      </c>
    </row>
    <row r="2100" spans="1:12" x14ac:dyDescent="0.2">
      <c r="A2100" t="s">
        <v>5884</v>
      </c>
      <c r="B2100" t="s">
        <v>5885</v>
      </c>
      <c r="C2100" t="s">
        <v>202</v>
      </c>
      <c r="E2100" t="s">
        <v>5886</v>
      </c>
      <c r="F2100">
        <v>4952</v>
      </c>
      <c r="G2100" t="s">
        <v>474</v>
      </c>
      <c r="H2100" t="s">
        <v>16</v>
      </c>
      <c r="I2100" t="s">
        <v>2440</v>
      </c>
      <c r="J2100" t="s">
        <v>2441</v>
      </c>
      <c r="K2100" t="s">
        <v>1809</v>
      </c>
      <c r="L2100" t="str">
        <f>HYPERLINK("https://business-monitor.ch/de/companies/503486-zaugg-unterlagsboeden-gmbh?utm_source=oberaargau","PROFIL ANSEHEN")</f>
        <v>PROFIL ANSEHEN</v>
      </c>
    </row>
    <row r="2101" spans="1:12" x14ac:dyDescent="0.2">
      <c r="A2101" t="s">
        <v>5341</v>
      </c>
      <c r="B2101" t="s">
        <v>5342</v>
      </c>
      <c r="C2101" t="s">
        <v>202</v>
      </c>
      <c r="E2101" t="s">
        <v>5343</v>
      </c>
      <c r="F2101">
        <v>4536</v>
      </c>
      <c r="G2101" t="s">
        <v>1395</v>
      </c>
      <c r="H2101" t="s">
        <v>16</v>
      </c>
      <c r="I2101" t="s">
        <v>86</v>
      </c>
      <c r="J2101" t="s">
        <v>87</v>
      </c>
      <c r="K2101" t="s">
        <v>1809</v>
      </c>
      <c r="L2101" t="str">
        <f>HYPERLINK("https://business-monitor.ch/de/companies/353666-alor-tw-gmbh?utm_source=oberaargau","PROFIL ANSEHEN")</f>
        <v>PROFIL ANSEHEN</v>
      </c>
    </row>
    <row r="2102" spans="1:12" x14ac:dyDescent="0.2">
      <c r="A2102" t="s">
        <v>2632</v>
      </c>
      <c r="B2102" t="s">
        <v>2633</v>
      </c>
      <c r="C2102" t="s">
        <v>202</v>
      </c>
      <c r="E2102" t="s">
        <v>2634</v>
      </c>
      <c r="F2102">
        <v>4932</v>
      </c>
      <c r="G2102" t="s">
        <v>325</v>
      </c>
      <c r="H2102" t="s">
        <v>16</v>
      </c>
      <c r="I2102" t="s">
        <v>157</v>
      </c>
      <c r="J2102" t="s">
        <v>158</v>
      </c>
      <c r="K2102" t="s">
        <v>1809</v>
      </c>
      <c r="L2102" t="str">
        <f>HYPERLINK("https://business-monitor.ch/de/companies/496137-gab-71-gmbh?utm_source=oberaargau","PROFIL ANSEHEN")</f>
        <v>PROFIL ANSEHEN</v>
      </c>
    </row>
    <row r="2103" spans="1:12" x14ac:dyDescent="0.2">
      <c r="A2103" t="s">
        <v>12012</v>
      </c>
      <c r="B2103" t="s">
        <v>12013</v>
      </c>
      <c r="C2103" t="s">
        <v>1812</v>
      </c>
      <c r="E2103" t="s">
        <v>12014</v>
      </c>
      <c r="F2103">
        <v>3360</v>
      </c>
      <c r="G2103" t="s">
        <v>35</v>
      </c>
      <c r="H2103" t="s">
        <v>16</v>
      </c>
      <c r="I2103" t="s">
        <v>1097</v>
      </c>
      <c r="J2103" t="s">
        <v>1098</v>
      </c>
      <c r="K2103" t="s">
        <v>1809</v>
      </c>
      <c r="L2103" t="str">
        <f>HYPERLINK("https://business-monitor.ch/de/companies/1178393-shoponline24-ch-inh-moser?utm_source=oberaargau","PROFIL ANSEHEN")</f>
        <v>PROFIL ANSEHEN</v>
      </c>
    </row>
    <row r="2104" spans="1:12" x14ac:dyDescent="0.2">
      <c r="A2104" t="s">
        <v>11679</v>
      </c>
      <c r="B2104" t="s">
        <v>11680</v>
      </c>
      <c r="C2104" t="s">
        <v>202</v>
      </c>
      <c r="E2104" t="s">
        <v>11681</v>
      </c>
      <c r="F2104">
        <v>4914</v>
      </c>
      <c r="G2104" t="s">
        <v>105</v>
      </c>
      <c r="H2104" t="s">
        <v>16</v>
      </c>
      <c r="I2104" t="s">
        <v>824</v>
      </c>
      <c r="J2104" t="s">
        <v>825</v>
      </c>
      <c r="K2104" t="s">
        <v>1809</v>
      </c>
      <c r="L2104" t="str">
        <f>HYPERLINK("https://business-monitor.ch/de/companies/1162016-le-li-2022-gmbh?utm_source=oberaargau","PROFIL ANSEHEN")</f>
        <v>PROFIL ANSEHEN</v>
      </c>
    </row>
    <row r="2105" spans="1:12" x14ac:dyDescent="0.2">
      <c r="A2105" t="s">
        <v>6563</v>
      </c>
      <c r="B2105" t="s">
        <v>6564</v>
      </c>
      <c r="C2105" t="s">
        <v>1812</v>
      </c>
      <c r="E2105" t="s">
        <v>6565</v>
      </c>
      <c r="F2105">
        <v>3365</v>
      </c>
      <c r="G2105" t="s">
        <v>1008</v>
      </c>
      <c r="H2105" t="s">
        <v>16</v>
      </c>
      <c r="I2105" t="s">
        <v>331</v>
      </c>
      <c r="J2105" t="s">
        <v>332</v>
      </c>
      <c r="K2105" t="s">
        <v>1809</v>
      </c>
      <c r="L2105" t="str">
        <f>HYPERLINK("https://business-monitor.ch/de/companies/226321-industriedesign-peter-ramseier?utm_source=oberaargau","PROFIL ANSEHEN")</f>
        <v>PROFIL ANSEHEN</v>
      </c>
    </row>
    <row r="2106" spans="1:12" x14ac:dyDescent="0.2">
      <c r="A2106" t="s">
        <v>13098</v>
      </c>
      <c r="B2106" t="s">
        <v>13099</v>
      </c>
      <c r="C2106" t="s">
        <v>202</v>
      </c>
      <c r="E2106" t="s">
        <v>4903</v>
      </c>
      <c r="F2106">
        <v>4938</v>
      </c>
      <c r="G2106" t="s">
        <v>618</v>
      </c>
      <c r="H2106" t="s">
        <v>16</v>
      </c>
      <c r="I2106" t="s">
        <v>191</v>
      </c>
      <c r="J2106" t="s">
        <v>192</v>
      </c>
      <c r="K2106" t="s">
        <v>1809</v>
      </c>
      <c r="L2106" t="str">
        <f>HYPERLINK("https://business-monitor.ch/de/companies/427305-melktechnik-emmental-gmbh?utm_source=oberaargau","PROFIL ANSEHEN")</f>
        <v>PROFIL ANSEHEN</v>
      </c>
    </row>
    <row r="2107" spans="1:12" x14ac:dyDescent="0.2">
      <c r="A2107" t="s">
        <v>4433</v>
      </c>
      <c r="B2107" t="s">
        <v>4434</v>
      </c>
      <c r="C2107" t="s">
        <v>202</v>
      </c>
      <c r="E2107" t="s">
        <v>4207</v>
      </c>
      <c r="F2107">
        <v>4900</v>
      </c>
      <c r="G2107" t="s">
        <v>41</v>
      </c>
      <c r="H2107" t="s">
        <v>16</v>
      </c>
      <c r="I2107" t="s">
        <v>77</v>
      </c>
      <c r="J2107" t="s">
        <v>78</v>
      </c>
      <c r="K2107" t="s">
        <v>1809</v>
      </c>
      <c r="L2107" t="str">
        <f>HYPERLINK("https://business-monitor.ch/de/companies/928747-immocrea-gmbh?utm_source=oberaargau","PROFIL ANSEHEN")</f>
        <v>PROFIL ANSEHEN</v>
      </c>
    </row>
    <row r="2108" spans="1:12" x14ac:dyDescent="0.2">
      <c r="A2108" t="s">
        <v>5867</v>
      </c>
      <c r="B2108" t="s">
        <v>5868</v>
      </c>
      <c r="C2108" t="s">
        <v>202</v>
      </c>
      <c r="D2108" t="s">
        <v>5869</v>
      </c>
      <c r="E2108" t="s">
        <v>5870</v>
      </c>
      <c r="F2108">
        <v>4539</v>
      </c>
      <c r="G2108" t="s">
        <v>1134</v>
      </c>
      <c r="H2108" t="s">
        <v>16</v>
      </c>
      <c r="I2108" t="s">
        <v>186</v>
      </c>
      <c r="J2108" t="s">
        <v>187</v>
      </c>
      <c r="K2108" t="s">
        <v>1809</v>
      </c>
      <c r="L2108" t="str">
        <f>HYPERLINK("https://business-monitor.ch/de/companies/506018-jordi-corporation-gmbh?utm_source=oberaargau","PROFIL ANSEHEN")</f>
        <v>PROFIL ANSEHEN</v>
      </c>
    </row>
    <row r="2109" spans="1:12" x14ac:dyDescent="0.2">
      <c r="A2109" t="s">
        <v>8808</v>
      </c>
      <c r="B2109" t="s">
        <v>8809</v>
      </c>
      <c r="C2109" t="s">
        <v>13</v>
      </c>
      <c r="D2109" t="s">
        <v>2583</v>
      </c>
      <c r="E2109" t="s">
        <v>1084</v>
      </c>
      <c r="F2109">
        <v>4900</v>
      </c>
      <c r="G2109" t="s">
        <v>41</v>
      </c>
      <c r="H2109" t="s">
        <v>16</v>
      </c>
      <c r="I2109" t="s">
        <v>186</v>
      </c>
      <c r="J2109" t="s">
        <v>187</v>
      </c>
      <c r="K2109" t="s">
        <v>1809</v>
      </c>
      <c r="L2109" t="str">
        <f>HYPERLINK("https://business-monitor.ch/de/companies/931608-indigo-invest-ag?utm_source=oberaargau","PROFIL ANSEHEN")</f>
        <v>PROFIL ANSEHEN</v>
      </c>
    </row>
    <row r="2110" spans="1:12" x14ac:dyDescent="0.2">
      <c r="A2110" t="s">
        <v>14066</v>
      </c>
      <c r="B2110" t="s">
        <v>14067</v>
      </c>
      <c r="C2110" t="s">
        <v>202</v>
      </c>
      <c r="E2110" t="s">
        <v>1796</v>
      </c>
      <c r="F2110">
        <v>4900</v>
      </c>
      <c r="G2110" t="s">
        <v>41</v>
      </c>
      <c r="H2110" t="s">
        <v>16</v>
      </c>
      <c r="I2110" t="s">
        <v>1152</v>
      </c>
      <c r="J2110" t="s">
        <v>1153</v>
      </c>
      <c r="K2110" t="s">
        <v>1809</v>
      </c>
      <c r="L2110" t="str">
        <f>HYPERLINK("https://business-monitor.ch/de/companies/1279550-myla-langenthal-gmbh?utm_source=oberaargau","PROFIL ANSEHEN")</f>
        <v>PROFIL ANSEHEN</v>
      </c>
    </row>
    <row r="2111" spans="1:12" x14ac:dyDescent="0.2">
      <c r="A2111" t="s">
        <v>1886</v>
      </c>
      <c r="B2111" t="s">
        <v>1887</v>
      </c>
      <c r="C2111" t="s">
        <v>1812</v>
      </c>
      <c r="E2111" t="s">
        <v>1888</v>
      </c>
      <c r="F2111">
        <v>4900</v>
      </c>
      <c r="G2111" t="s">
        <v>41</v>
      </c>
      <c r="H2111" t="s">
        <v>16</v>
      </c>
      <c r="I2111" t="s">
        <v>1889</v>
      </c>
      <c r="J2111" t="s">
        <v>1890</v>
      </c>
      <c r="K2111" t="s">
        <v>1809</v>
      </c>
      <c r="L2111" t="str">
        <f>HYPERLINK("https://business-monitor.ch/de/companies/441016-h-haensli-hh-kurier?utm_source=oberaargau","PROFIL ANSEHEN")</f>
        <v>PROFIL ANSEHEN</v>
      </c>
    </row>
    <row r="2112" spans="1:12" x14ac:dyDescent="0.2">
      <c r="A2112" t="s">
        <v>8590</v>
      </c>
      <c r="B2112" t="s">
        <v>8591</v>
      </c>
      <c r="C2112" t="s">
        <v>202</v>
      </c>
      <c r="E2112" t="s">
        <v>6604</v>
      </c>
      <c r="F2112">
        <v>3360</v>
      </c>
      <c r="G2112" t="s">
        <v>35</v>
      </c>
      <c r="H2112" t="s">
        <v>16</v>
      </c>
      <c r="I2112" t="s">
        <v>613</v>
      </c>
      <c r="J2112" t="s">
        <v>614</v>
      </c>
      <c r="K2112" t="s">
        <v>1809</v>
      </c>
      <c r="L2112" t="str">
        <f>HYPERLINK("https://business-monitor.ch/de/companies/476873-velo-rapp-gmbh?utm_source=oberaargau","PROFIL ANSEHEN")</f>
        <v>PROFIL ANSEHEN</v>
      </c>
    </row>
    <row r="2113" spans="1:12" x14ac:dyDescent="0.2">
      <c r="A2113" t="s">
        <v>2765</v>
      </c>
      <c r="B2113" t="s">
        <v>2766</v>
      </c>
      <c r="C2113" t="s">
        <v>1812</v>
      </c>
      <c r="E2113" t="s">
        <v>2767</v>
      </c>
      <c r="F2113">
        <v>4942</v>
      </c>
      <c r="G2113" t="s">
        <v>1287</v>
      </c>
      <c r="H2113" t="s">
        <v>16</v>
      </c>
      <c r="I2113" t="s">
        <v>2180</v>
      </c>
      <c r="J2113" t="s">
        <v>2181</v>
      </c>
      <c r="K2113" t="s">
        <v>1809</v>
      </c>
      <c r="L2113" t="str">
        <f>HYPERLINK("https://business-monitor.ch/de/companies/444245-foeierwerken-mit-boerni-rauch-inh-r-pfaffen?utm_source=oberaargau","PROFIL ANSEHEN")</f>
        <v>PROFIL ANSEHEN</v>
      </c>
    </row>
    <row r="2114" spans="1:12" x14ac:dyDescent="0.2">
      <c r="A2114" t="s">
        <v>7917</v>
      </c>
      <c r="B2114" t="s">
        <v>7918</v>
      </c>
      <c r="C2114" t="s">
        <v>1812</v>
      </c>
      <c r="E2114" t="s">
        <v>7919</v>
      </c>
      <c r="F2114">
        <v>4912</v>
      </c>
      <c r="G2114" t="s">
        <v>64</v>
      </c>
      <c r="H2114" t="s">
        <v>16</v>
      </c>
      <c r="I2114" t="s">
        <v>920</v>
      </c>
      <c r="J2114" t="s">
        <v>921</v>
      </c>
      <c r="K2114" t="s">
        <v>1809</v>
      </c>
      <c r="L2114" t="str">
        <f>HYPERLINK("https://business-monitor.ch/de/companies/171455-m-jordi?utm_source=oberaargau","PROFIL ANSEHEN")</f>
        <v>PROFIL ANSEHEN</v>
      </c>
    </row>
    <row r="2115" spans="1:12" x14ac:dyDescent="0.2">
      <c r="A2115" t="s">
        <v>4453</v>
      </c>
      <c r="B2115" t="s">
        <v>4454</v>
      </c>
      <c r="C2115" t="s">
        <v>202</v>
      </c>
      <c r="E2115" t="s">
        <v>2600</v>
      </c>
      <c r="F2115">
        <v>3368</v>
      </c>
      <c r="G2115" t="s">
        <v>308</v>
      </c>
      <c r="H2115" t="s">
        <v>16</v>
      </c>
      <c r="I2115" t="s">
        <v>679</v>
      </c>
      <c r="J2115" t="s">
        <v>680</v>
      </c>
      <c r="K2115" t="s">
        <v>1809</v>
      </c>
      <c r="L2115" t="str">
        <f>HYPERLINK("https://business-monitor.ch/de/companies/729075-schreiner-gerber-beraten-planen-vollenden-gmbh?utm_source=oberaargau","PROFIL ANSEHEN")</f>
        <v>PROFIL ANSEHEN</v>
      </c>
    </row>
    <row r="2116" spans="1:12" x14ac:dyDescent="0.2">
      <c r="A2116" t="s">
        <v>6666</v>
      </c>
      <c r="B2116" t="s">
        <v>10624</v>
      </c>
      <c r="C2116" t="s">
        <v>13</v>
      </c>
      <c r="E2116" t="s">
        <v>1115</v>
      </c>
      <c r="F2116">
        <v>4914</v>
      </c>
      <c r="G2116" t="s">
        <v>105</v>
      </c>
      <c r="H2116" t="s">
        <v>16</v>
      </c>
      <c r="I2116" t="s">
        <v>1446</v>
      </c>
      <c r="J2116" t="s">
        <v>1447</v>
      </c>
      <c r="K2116" t="s">
        <v>1809</v>
      </c>
      <c r="L2116" t="str">
        <f>HYPERLINK("https://business-monitor.ch/de/companies/172433-franz-schaller-ag?utm_source=oberaargau","PROFIL ANSEHEN")</f>
        <v>PROFIL ANSEHEN</v>
      </c>
    </row>
    <row r="2117" spans="1:12" x14ac:dyDescent="0.2">
      <c r="A2117" t="s">
        <v>14101</v>
      </c>
      <c r="B2117" t="s">
        <v>14102</v>
      </c>
      <c r="C2117" t="s">
        <v>13</v>
      </c>
      <c r="E2117" t="s">
        <v>4412</v>
      </c>
      <c r="F2117">
        <v>4900</v>
      </c>
      <c r="G2117" t="s">
        <v>41</v>
      </c>
      <c r="H2117" t="s">
        <v>16</v>
      </c>
      <c r="I2117" t="s">
        <v>1528</v>
      </c>
      <c r="J2117" t="s">
        <v>1529</v>
      </c>
      <c r="K2117" t="s">
        <v>1809</v>
      </c>
      <c r="L2117" t="str">
        <f>HYPERLINK("https://business-monitor.ch/de/companies/1293094-david-gruner-advokatur-notariat-ag?utm_source=oberaargau","PROFIL ANSEHEN")</f>
        <v>PROFIL ANSEHEN</v>
      </c>
    </row>
    <row r="2118" spans="1:12" x14ac:dyDescent="0.2">
      <c r="A2118" t="s">
        <v>8633</v>
      </c>
      <c r="B2118" t="s">
        <v>8634</v>
      </c>
      <c r="C2118" t="s">
        <v>1812</v>
      </c>
      <c r="E2118" t="s">
        <v>8635</v>
      </c>
      <c r="F2118">
        <v>4938</v>
      </c>
      <c r="G2118" t="s">
        <v>1909</v>
      </c>
      <c r="H2118" t="s">
        <v>16</v>
      </c>
      <c r="I2118" t="s">
        <v>4534</v>
      </c>
      <c r="J2118" t="s">
        <v>4535</v>
      </c>
      <c r="K2118" t="s">
        <v>1809</v>
      </c>
      <c r="L2118" t="str">
        <f>HYPERLINK("https://business-monitor.ch/de/companies/438296-bluemigx-sandra-sommer?utm_source=oberaargau","PROFIL ANSEHEN")</f>
        <v>PROFIL ANSEHEN</v>
      </c>
    </row>
    <row r="2119" spans="1:12" x14ac:dyDescent="0.2">
      <c r="A2119" t="s">
        <v>3756</v>
      </c>
      <c r="B2119" t="s">
        <v>8186</v>
      </c>
      <c r="C2119" t="s">
        <v>2010</v>
      </c>
      <c r="E2119" t="s">
        <v>14499</v>
      </c>
      <c r="F2119">
        <v>4704</v>
      </c>
      <c r="G2119" t="s">
        <v>221</v>
      </c>
      <c r="H2119" t="s">
        <v>16</v>
      </c>
      <c r="I2119" t="s">
        <v>642</v>
      </c>
      <c r="J2119" t="s">
        <v>643</v>
      </c>
      <c r="K2119" t="s">
        <v>1809</v>
      </c>
      <c r="L2119" t="str">
        <f>HYPERLINK("https://business-monitor.ch/de/companies/173630-herzig-co?utm_source=oberaargau","PROFIL ANSEHEN")</f>
        <v>PROFIL ANSEHEN</v>
      </c>
    </row>
    <row r="2120" spans="1:12" x14ac:dyDescent="0.2">
      <c r="A2120" t="s">
        <v>9113</v>
      </c>
      <c r="B2120" t="s">
        <v>9114</v>
      </c>
      <c r="C2120" t="s">
        <v>1812</v>
      </c>
      <c r="E2120" t="s">
        <v>9115</v>
      </c>
      <c r="F2120">
        <v>3380</v>
      </c>
      <c r="G2120" t="s">
        <v>29</v>
      </c>
      <c r="H2120" t="s">
        <v>16</v>
      </c>
      <c r="I2120" t="s">
        <v>807</v>
      </c>
      <c r="J2120" t="s">
        <v>808</v>
      </c>
      <c r="K2120" t="s">
        <v>1809</v>
      </c>
      <c r="L2120" t="str">
        <f>HYPERLINK("https://business-monitor.ch/de/companies/173748-brechbuehl-zahnraeder?utm_source=oberaargau","PROFIL ANSEHEN")</f>
        <v>PROFIL ANSEHEN</v>
      </c>
    </row>
    <row r="2121" spans="1:12" x14ac:dyDescent="0.2">
      <c r="A2121" t="s">
        <v>4497</v>
      </c>
      <c r="B2121" t="s">
        <v>4498</v>
      </c>
      <c r="C2121" t="s">
        <v>1812</v>
      </c>
      <c r="E2121" t="s">
        <v>4499</v>
      </c>
      <c r="F2121">
        <v>4938</v>
      </c>
      <c r="G2121" t="s">
        <v>618</v>
      </c>
      <c r="H2121" t="s">
        <v>16</v>
      </c>
      <c r="I2121" t="s">
        <v>3775</v>
      </c>
      <c r="J2121" t="s">
        <v>3776</v>
      </c>
      <c r="K2121" t="s">
        <v>1809</v>
      </c>
      <c r="L2121" t="str">
        <f>HYPERLINK("https://business-monitor.ch/de/companies/702605-malarswiss-nadesapillai?utm_source=oberaargau","PROFIL ANSEHEN")</f>
        <v>PROFIL ANSEHEN</v>
      </c>
    </row>
    <row r="2122" spans="1:12" x14ac:dyDescent="0.2">
      <c r="A2122" t="s">
        <v>3799</v>
      </c>
      <c r="B2122" t="s">
        <v>3800</v>
      </c>
      <c r="C2122" t="s">
        <v>202</v>
      </c>
      <c r="E2122" t="s">
        <v>3801</v>
      </c>
      <c r="F2122">
        <v>4914</v>
      </c>
      <c r="G2122" t="s">
        <v>105</v>
      </c>
      <c r="H2122" t="s">
        <v>16</v>
      </c>
      <c r="I2122" t="s">
        <v>3802</v>
      </c>
      <c r="J2122" t="s">
        <v>3803</v>
      </c>
      <c r="K2122" t="s">
        <v>1809</v>
      </c>
      <c r="L2122" t="str">
        <f>HYPERLINK("https://business-monitor.ch/de/companies/930295-bellis-mini-freizeitpark-gmbh?utm_source=oberaargau","PROFIL ANSEHEN")</f>
        <v>PROFIL ANSEHEN</v>
      </c>
    </row>
    <row r="2123" spans="1:12" x14ac:dyDescent="0.2">
      <c r="A2123" t="s">
        <v>6444</v>
      </c>
      <c r="B2123" t="s">
        <v>6445</v>
      </c>
      <c r="C2123" t="s">
        <v>1922</v>
      </c>
      <c r="D2123" t="s">
        <v>6446</v>
      </c>
      <c r="E2123" t="s">
        <v>897</v>
      </c>
      <c r="F2123">
        <v>3380</v>
      </c>
      <c r="G2123" t="s">
        <v>29</v>
      </c>
      <c r="H2123" t="s">
        <v>16</v>
      </c>
      <c r="I2123" t="s">
        <v>2116</v>
      </c>
      <c r="J2123" t="s">
        <v>2117</v>
      </c>
      <c r="K2123" t="s">
        <v>1809</v>
      </c>
      <c r="L2123" t="str">
        <f>HYPERLINK("https://business-monitor.ch/de/companies/274332-personalfuersorgestiftung-der-firma-roth-cie-ag?utm_source=oberaargau","PROFIL ANSEHEN")</f>
        <v>PROFIL ANSEHEN</v>
      </c>
    </row>
    <row r="2124" spans="1:12" x14ac:dyDescent="0.2">
      <c r="A2124" t="s">
        <v>10714</v>
      </c>
      <c r="B2124" t="s">
        <v>10715</v>
      </c>
      <c r="C2124" t="s">
        <v>13</v>
      </c>
      <c r="E2124" t="s">
        <v>3720</v>
      </c>
      <c r="F2124">
        <v>3360</v>
      </c>
      <c r="G2124" t="s">
        <v>35</v>
      </c>
      <c r="H2124" t="s">
        <v>16</v>
      </c>
      <c r="I2124" t="s">
        <v>2433</v>
      </c>
      <c r="J2124" t="s">
        <v>2434</v>
      </c>
      <c r="K2124" t="s">
        <v>1809</v>
      </c>
      <c r="L2124" t="str">
        <f>HYPERLINK("https://business-monitor.ch/de/companies/245032-intefo-ag?utm_source=oberaargau","PROFIL ANSEHEN")</f>
        <v>PROFIL ANSEHEN</v>
      </c>
    </row>
    <row r="2125" spans="1:12" x14ac:dyDescent="0.2">
      <c r="A2125" t="s">
        <v>4483</v>
      </c>
      <c r="B2125" t="s">
        <v>4484</v>
      </c>
      <c r="C2125" t="s">
        <v>13</v>
      </c>
      <c r="E2125" t="s">
        <v>3978</v>
      </c>
      <c r="F2125">
        <v>4536</v>
      </c>
      <c r="G2125" t="s">
        <v>1395</v>
      </c>
      <c r="H2125" t="s">
        <v>16</v>
      </c>
      <c r="I2125" t="s">
        <v>182</v>
      </c>
      <c r="J2125" t="s">
        <v>183</v>
      </c>
      <c r="K2125" t="s">
        <v>1809</v>
      </c>
      <c r="L2125" t="str">
        <f>HYPERLINK("https://business-monitor.ch/de/companies/714157-nileu-holding-ag?utm_source=oberaargau","PROFIL ANSEHEN")</f>
        <v>PROFIL ANSEHEN</v>
      </c>
    </row>
    <row r="2126" spans="1:12" x14ac:dyDescent="0.2">
      <c r="A2126" t="s">
        <v>8182</v>
      </c>
      <c r="B2126" t="s">
        <v>8183</v>
      </c>
      <c r="C2126" t="s">
        <v>1812</v>
      </c>
      <c r="E2126" t="s">
        <v>799</v>
      </c>
      <c r="F2126">
        <v>3373</v>
      </c>
      <c r="G2126" t="s">
        <v>2429</v>
      </c>
      <c r="H2126" t="s">
        <v>16</v>
      </c>
      <c r="I2126" t="s">
        <v>1097</v>
      </c>
      <c r="J2126" t="s">
        <v>1098</v>
      </c>
      <c r="K2126" t="s">
        <v>1809</v>
      </c>
      <c r="L2126" t="str">
        <f>HYPERLINK("https://business-monitor.ch/de/companies/173768-schneider-online24-ch?utm_source=oberaargau","PROFIL ANSEHEN")</f>
        <v>PROFIL ANSEHEN</v>
      </c>
    </row>
    <row r="2127" spans="1:12" x14ac:dyDescent="0.2">
      <c r="A2127" t="s">
        <v>7004</v>
      </c>
      <c r="B2127" t="s">
        <v>7005</v>
      </c>
      <c r="C2127" t="s">
        <v>1812</v>
      </c>
      <c r="E2127" t="s">
        <v>7006</v>
      </c>
      <c r="F2127">
        <v>3362</v>
      </c>
      <c r="G2127" t="s">
        <v>47</v>
      </c>
      <c r="H2127" t="s">
        <v>16</v>
      </c>
      <c r="I2127" t="s">
        <v>1401</v>
      </c>
      <c r="J2127" t="s">
        <v>1402</v>
      </c>
      <c r="K2127" t="s">
        <v>1809</v>
      </c>
      <c r="L2127" t="str">
        <f>HYPERLINK("https://business-monitor.ch/de/companies/581378-atelier-therese-tschirren?utm_source=oberaargau","PROFIL ANSEHEN")</f>
        <v>PROFIL ANSEHEN</v>
      </c>
    </row>
    <row r="2128" spans="1:12" x14ac:dyDescent="0.2">
      <c r="A2128" t="s">
        <v>13010</v>
      </c>
      <c r="B2128" t="s">
        <v>13011</v>
      </c>
      <c r="C2128" t="s">
        <v>1812</v>
      </c>
      <c r="E2128" t="s">
        <v>8653</v>
      </c>
      <c r="F2128">
        <v>4914</v>
      </c>
      <c r="G2128" t="s">
        <v>105</v>
      </c>
      <c r="H2128" t="s">
        <v>16</v>
      </c>
      <c r="I2128" t="s">
        <v>1097</v>
      </c>
      <c r="J2128" t="s">
        <v>1098</v>
      </c>
      <c r="K2128" t="s">
        <v>1809</v>
      </c>
      <c r="L2128" t="str">
        <f>HYPERLINK("https://business-monitor.ch/de/companies/1237341-snack-world-bellusci?utm_source=oberaargau","PROFIL ANSEHEN")</f>
        <v>PROFIL ANSEHEN</v>
      </c>
    </row>
    <row r="2129" spans="1:12" x14ac:dyDescent="0.2">
      <c r="A2129" t="s">
        <v>9124</v>
      </c>
      <c r="B2129" t="s">
        <v>9125</v>
      </c>
      <c r="C2129" t="s">
        <v>13</v>
      </c>
      <c r="E2129" t="s">
        <v>4954</v>
      </c>
      <c r="F2129">
        <v>4912</v>
      </c>
      <c r="G2129" t="s">
        <v>64</v>
      </c>
      <c r="H2129" t="s">
        <v>16</v>
      </c>
      <c r="I2129" t="s">
        <v>642</v>
      </c>
      <c r="J2129" t="s">
        <v>643</v>
      </c>
      <c r="K2129" t="s">
        <v>1809</v>
      </c>
      <c r="L2129" t="str">
        <f>HYPERLINK("https://business-monitor.ch/de/companies/171449-auto-center-ag-aarwangen?utm_source=oberaargau","PROFIL ANSEHEN")</f>
        <v>PROFIL ANSEHEN</v>
      </c>
    </row>
    <row r="2130" spans="1:12" x14ac:dyDescent="0.2">
      <c r="A2130" t="s">
        <v>4913</v>
      </c>
      <c r="B2130" t="s">
        <v>11003</v>
      </c>
      <c r="C2130" t="s">
        <v>202</v>
      </c>
      <c r="E2130" t="s">
        <v>13705</v>
      </c>
      <c r="F2130">
        <v>4912</v>
      </c>
      <c r="G2130" t="s">
        <v>64</v>
      </c>
      <c r="H2130" t="s">
        <v>16</v>
      </c>
      <c r="I2130" t="s">
        <v>824</v>
      </c>
      <c r="J2130" t="s">
        <v>825</v>
      </c>
      <c r="K2130" t="s">
        <v>1809</v>
      </c>
      <c r="L2130" t="str">
        <f>HYPERLINK("https://business-monitor.ch/de/companies/726521-fortuna-zwahlen-gmbh?utm_source=oberaargau","PROFIL ANSEHEN")</f>
        <v>PROFIL ANSEHEN</v>
      </c>
    </row>
    <row r="2131" spans="1:12" x14ac:dyDescent="0.2">
      <c r="A2131" t="s">
        <v>14308</v>
      </c>
      <c r="B2131" t="s">
        <v>14309</v>
      </c>
      <c r="C2131" t="s">
        <v>202</v>
      </c>
      <c r="E2131" t="s">
        <v>14310</v>
      </c>
      <c r="F2131">
        <v>3375</v>
      </c>
      <c r="G2131" t="s">
        <v>667</v>
      </c>
      <c r="H2131" t="s">
        <v>16</v>
      </c>
      <c r="I2131" t="s">
        <v>3369</v>
      </c>
      <c r="J2131" t="s">
        <v>3370</v>
      </c>
      <c r="K2131" t="s">
        <v>1809</v>
      </c>
      <c r="L2131" t="str">
        <f>HYPERLINK("https://business-monitor.ch/de/companies/1291742-ortholabor-freudiger-gmbh?utm_source=oberaargau","PROFIL ANSEHEN")</f>
        <v>PROFIL ANSEHEN</v>
      </c>
    </row>
    <row r="2132" spans="1:12" x14ac:dyDescent="0.2">
      <c r="A2132" t="s">
        <v>10100</v>
      </c>
      <c r="B2132" t="s">
        <v>10101</v>
      </c>
      <c r="C2132" t="s">
        <v>202</v>
      </c>
      <c r="E2132" t="s">
        <v>10102</v>
      </c>
      <c r="F2132">
        <v>4952</v>
      </c>
      <c r="G2132" t="s">
        <v>474</v>
      </c>
      <c r="H2132" t="s">
        <v>16</v>
      </c>
      <c r="I2132" t="s">
        <v>642</v>
      </c>
      <c r="J2132" t="s">
        <v>643</v>
      </c>
      <c r="K2132" t="s">
        <v>1809</v>
      </c>
      <c r="L2132" t="str">
        <f>HYPERLINK("https://business-monitor.ch/de/companies/675859-bruno-kleeb-reparaturservice-gmbh?utm_source=oberaargau","PROFIL ANSEHEN")</f>
        <v>PROFIL ANSEHEN</v>
      </c>
    </row>
    <row r="2133" spans="1:12" x14ac:dyDescent="0.2">
      <c r="A2133" t="s">
        <v>7486</v>
      </c>
      <c r="B2133" t="s">
        <v>7487</v>
      </c>
      <c r="C2133" t="s">
        <v>202</v>
      </c>
      <c r="E2133" t="s">
        <v>7488</v>
      </c>
      <c r="F2133">
        <v>4704</v>
      </c>
      <c r="G2133" t="s">
        <v>221</v>
      </c>
      <c r="H2133" t="s">
        <v>16</v>
      </c>
      <c r="I2133" t="s">
        <v>781</v>
      </c>
      <c r="J2133" t="s">
        <v>782</v>
      </c>
      <c r="K2133" t="s">
        <v>1809</v>
      </c>
      <c r="L2133" t="str">
        <f>HYPERLINK("https://business-monitor.ch/de/companies/727689-rs-maschinen-technik-gmbh?utm_source=oberaargau","PROFIL ANSEHEN")</f>
        <v>PROFIL ANSEHEN</v>
      </c>
    </row>
    <row r="2134" spans="1:12" x14ac:dyDescent="0.2">
      <c r="A2134" t="s">
        <v>12766</v>
      </c>
      <c r="B2134" t="s">
        <v>12767</v>
      </c>
      <c r="C2134" t="s">
        <v>1827</v>
      </c>
      <c r="E2134" t="s">
        <v>12768</v>
      </c>
      <c r="F2134">
        <v>4704</v>
      </c>
      <c r="G2134" t="s">
        <v>221</v>
      </c>
      <c r="H2134" t="s">
        <v>16</v>
      </c>
      <c r="I2134" t="s">
        <v>824</v>
      </c>
      <c r="J2134" t="s">
        <v>825</v>
      </c>
      <c r="K2134" t="s">
        <v>1809</v>
      </c>
      <c r="L2134" t="str">
        <f>HYPERLINK("https://business-monitor.ch/de/companies/1228337-ungarische-spezialitaeten-by-ernoe-und-anna-klg?utm_source=oberaargau","PROFIL ANSEHEN")</f>
        <v>PROFIL ANSEHEN</v>
      </c>
    </row>
    <row r="2135" spans="1:12" x14ac:dyDescent="0.2">
      <c r="A2135" t="s">
        <v>9920</v>
      </c>
      <c r="B2135" t="s">
        <v>9921</v>
      </c>
      <c r="C2135" t="s">
        <v>13</v>
      </c>
      <c r="E2135" t="s">
        <v>473</v>
      </c>
      <c r="F2135">
        <v>4900</v>
      </c>
      <c r="G2135" t="s">
        <v>41</v>
      </c>
      <c r="H2135" t="s">
        <v>16</v>
      </c>
      <c r="I2135" t="s">
        <v>1337</v>
      </c>
      <c r="J2135" t="s">
        <v>1338</v>
      </c>
      <c r="K2135" t="s">
        <v>1809</v>
      </c>
      <c r="L2135" t="str">
        <f>HYPERLINK("https://business-monitor.ch/de/companies/958469-sport-freizeit-langenthal-ag?utm_source=oberaargau","PROFIL ANSEHEN")</f>
        <v>PROFIL ANSEHEN</v>
      </c>
    </row>
    <row r="2136" spans="1:12" x14ac:dyDescent="0.2">
      <c r="A2136" t="s">
        <v>7376</v>
      </c>
      <c r="B2136" t="s">
        <v>7377</v>
      </c>
      <c r="C2136" t="s">
        <v>13</v>
      </c>
      <c r="E2136" t="s">
        <v>727</v>
      </c>
      <c r="F2136">
        <v>3366</v>
      </c>
      <c r="G2136" t="s">
        <v>728</v>
      </c>
      <c r="H2136" t="s">
        <v>16</v>
      </c>
      <c r="I2136" t="s">
        <v>182</v>
      </c>
      <c r="J2136" t="s">
        <v>183</v>
      </c>
      <c r="K2136" t="s">
        <v>1809</v>
      </c>
      <c r="L2136" t="str">
        <f>HYPERLINK("https://business-monitor.ch/de/companies/974449-hans-rhyn-holding-ag?utm_source=oberaargau","PROFIL ANSEHEN")</f>
        <v>PROFIL ANSEHEN</v>
      </c>
    </row>
    <row r="2137" spans="1:12" x14ac:dyDescent="0.2">
      <c r="A2137" t="s">
        <v>10799</v>
      </c>
      <c r="B2137" t="s">
        <v>10800</v>
      </c>
      <c r="C2137" t="s">
        <v>1812</v>
      </c>
      <c r="E2137" t="s">
        <v>10801</v>
      </c>
      <c r="F2137">
        <v>4536</v>
      </c>
      <c r="G2137" t="s">
        <v>1395</v>
      </c>
      <c r="H2137" t="s">
        <v>16</v>
      </c>
      <c r="I2137" t="s">
        <v>331</v>
      </c>
      <c r="J2137" t="s">
        <v>332</v>
      </c>
      <c r="K2137" t="s">
        <v>1809</v>
      </c>
      <c r="L2137" t="str">
        <f>HYPERLINK("https://business-monitor.ch/de/companies/1044463-luetec-mechanik-p-luethi?utm_source=oberaargau","PROFIL ANSEHEN")</f>
        <v>PROFIL ANSEHEN</v>
      </c>
    </row>
    <row r="2138" spans="1:12" x14ac:dyDescent="0.2">
      <c r="A2138" t="s">
        <v>7123</v>
      </c>
      <c r="B2138" t="s">
        <v>7124</v>
      </c>
      <c r="C2138" t="s">
        <v>1812</v>
      </c>
      <c r="E2138" t="s">
        <v>3492</v>
      </c>
      <c r="F2138">
        <v>4853</v>
      </c>
      <c r="G2138" t="s">
        <v>830</v>
      </c>
      <c r="H2138" t="s">
        <v>16</v>
      </c>
      <c r="I2138" t="s">
        <v>2440</v>
      </c>
      <c r="J2138" t="s">
        <v>2441</v>
      </c>
      <c r="K2138" t="s">
        <v>1809</v>
      </c>
      <c r="L2138" t="str">
        <f>HYPERLINK("https://business-monitor.ch/de/companies/720034-jozef-unterlagsboeden?utm_source=oberaargau","PROFIL ANSEHEN")</f>
        <v>PROFIL ANSEHEN</v>
      </c>
    </row>
    <row r="2139" spans="1:12" x14ac:dyDescent="0.2">
      <c r="A2139" t="s">
        <v>14204</v>
      </c>
      <c r="B2139" t="s">
        <v>14205</v>
      </c>
      <c r="C2139" t="s">
        <v>202</v>
      </c>
      <c r="D2139" t="s">
        <v>14206</v>
      </c>
      <c r="E2139" t="s">
        <v>6508</v>
      </c>
      <c r="F2139">
        <v>3360</v>
      </c>
      <c r="G2139" t="s">
        <v>35</v>
      </c>
      <c r="H2139" t="s">
        <v>16</v>
      </c>
      <c r="I2139" t="s">
        <v>2062</v>
      </c>
      <c r="J2139" t="s">
        <v>2063</v>
      </c>
      <c r="K2139" t="s">
        <v>1809</v>
      </c>
      <c r="L2139" t="str">
        <f>HYPERLINK("https://business-monitor.ch/de/companies/1285587-eyde-gmbh?utm_source=oberaargau","PROFIL ANSEHEN")</f>
        <v>PROFIL ANSEHEN</v>
      </c>
    </row>
    <row r="2140" spans="1:12" x14ac:dyDescent="0.2">
      <c r="A2140" t="s">
        <v>14500</v>
      </c>
      <c r="B2140" t="s">
        <v>14501</v>
      </c>
      <c r="C2140" t="s">
        <v>202</v>
      </c>
      <c r="E2140" t="s">
        <v>14502</v>
      </c>
      <c r="F2140">
        <v>4914</v>
      </c>
      <c r="G2140" t="s">
        <v>105</v>
      </c>
      <c r="H2140" t="s">
        <v>16</v>
      </c>
      <c r="I2140" t="s">
        <v>77</v>
      </c>
      <c r="J2140" t="s">
        <v>78</v>
      </c>
      <c r="K2140" t="s">
        <v>1809</v>
      </c>
      <c r="L2140" t="str">
        <f>HYPERLINK("https://business-monitor.ch/de/companies/1297449-v-bau-gmbh?utm_source=oberaargau","PROFIL ANSEHEN")</f>
        <v>PROFIL ANSEHEN</v>
      </c>
    </row>
    <row r="2141" spans="1:12" x14ac:dyDescent="0.2">
      <c r="A2141" t="s">
        <v>6865</v>
      </c>
      <c r="B2141" t="s">
        <v>6866</v>
      </c>
      <c r="C2141" t="s">
        <v>2258</v>
      </c>
      <c r="E2141" t="s">
        <v>1115</v>
      </c>
      <c r="F2141">
        <v>4900</v>
      </c>
      <c r="G2141" t="s">
        <v>41</v>
      </c>
      <c r="H2141" t="s">
        <v>16</v>
      </c>
      <c r="I2141" t="s">
        <v>2849</v>
      </c>
      <c r="J2141" t="s">
        <v>2850</v>
      </c>
      <c r="K2141" t="s">
        <v>1809</v>
      </c>
      <c r="L2141" t="str">
        <f>HYPERLINK("https://business-monitor.ch/de/companies/41268-maxi-mumm?utm_source=oberaargau","PROFIL ANSEHEN")</f>
        <v>PROFIL ANSEHEN</v>
      </c>
    </row>
    <row r="2142" spans="1:12" x14ac:dyDescent="0.2">
      <c r="A2142" t="s">
        <v>8060</v>
      </c>
      <c r="B2142" t="s">
        <v>8061</v>
      </c>
      <c r="C2142" t="s">
        <v>1812</v>
      </c>
      <c r="E2142" t="s">
        <v>7061</v>
      </c>
      <c r="F2142">
        <v>4932</v>
      </c>
      <c r="G2142" t="s">
        <v>325</v>
      </c>
      <c r="H2142" t="s">
        <v>16</v>
      </c>
      <c r="I2142" t="s">
        <v>4577</v>
      </c>
      <c r="J2142" t="s">
        <v>4578</v>
      </c>
      <c r="K2142" t="s">
        <v>1809</v>
      </c>
      <c r="L2142" t="str">
        <f>HYPERLINK("https://business-monitor.ch/de/companies/171562-reto-hosner?utm_source=oberaargau","PROFIL ANSEHEN")</f>
        <v>PROFIL ANSEHEN</v>
      </c>
    </row>
    <row r="2143" spans="1:12" x14ac:dyDescent="0.2">
      <c r="A2143" t="s">
        <v>2860</v>
      </c>
      <c r="B2143" t="s">
        <v>2861</v>
      </c>
      <c r="C2143" t="s">
        <v>13</v>
      </c>
      <c r="E2143" t="s">
        <v>2862</v>
      </c>
      <c r="F2143">
        <v>4900</v>
      </c>
      <c r="G2143" t="s">
        <v>41</v>
      </c>
      <c r="H2143" t="s">
        <v>16</v>
      </c>
      <c r="I2143" t="s">
        <v>2897</v>
      </c>
      <c r="J2143" t="s">
        <v>2898</v>
      </c>
      <c r="K2143" t="s">
        <v>1809</v>
      </c>
      <c r="L2143" t="str">
        <f>HYPERLINK("https://business-monitor.ch/de/companies/543769-green-gold-corporation-ag?utm_source=oberaargau","PROFIL ANSEHEN")</f>
        <v>PROFIL ANSEHEN</v>
      </c>
    </row>
    <row r="2144" spans="1:12" x14ac:dyDescent="0.2">
      <c r="A2144" t="s">
        <v>10791</v>
      </c>
      <c r="B2144" t="s">
        <v>10792</v>
      </c>
      <c r="C2144" t="s">
        <v>202</v>
      </c>
      <c r="E2144" t="s">
        <v>3047</v>
      </c>
      <c r="F2144">
        <v>4912</v>
      </c>
      <c r="G2144" t="s">
        <v>64</v>
      </c>
      <c r="H2144" t="s">
        <v>16</v>
      </c>
      <c r="I2144" t="s">
        <v>134</v>
      </c>
      <c r="J2144" t="s">
        <v>135</v>
      </c>
      <c r="K2144" t="s">
        <v>1809</v>
      </c>
      <c r="L2144" t="str">
        <f>HYPERLINK("https://business-monitor.ch/de/companies/1111730-kurt-berchtold-elektro-gmbh?utm_source=oberaargau","PROFIL ANSEHEN")</f>
        <v>PROFIL ANSEHEN</v>
      </c>
    </row>
    <row r="2145" spans="1:12" x14ac:dyDescent="0.2">
      <c r="A2145" t="s">
        <v>8146</v>
      </c>
      <c r="B2145" t="s">
        <v>8147</v>
      </c>
      <c r="C2145" t="s">
        <v>1812</v>
      </c>
      <c r="E2145" t="s">
        <v>8148</v>
      </c>
      <c r="F2145">
        <v>3366</v>
      </c>
      <c r="G2145" t="s">
        <v>728</v>
      </c>
      <c r="H2145" t="s">
        <v>16</v>
      </c>
      <c r="I2145" t="s">
        <v>2665</v>
      </c>
      <c r="J2145" t="s">
        <v>2666</v>
      </c>
      <c r="K2145" t="s">
        <v>1809</v>
      </c>
      <c r="L2145" t="str">
        <f>HYPERLINK("https://business-monitor.ch/de/companies/185016-smart-unlimited-maj-mcguire-jaeggi?utm_source=oberaargau","PROFIL ANSEHEN")</f>
        <v>PROFIL ANSEHEN</v>
      </c>
    </row>
    <row r="2146" spans="1:12" x14ac:dyDescent="0.2">
      <c r="A2146" t="s">
        <v>6042</v>
      </c>
      <c r="B2146" t="s">
        <v>6043</v>
      </c>
      <c r="C2146" t="s">
        <v>202</v>
      </c>
      <c r="E2146" t="s">
        <v>6044</v>
      </c>
      <c r="F2146">
        <v>4704</v>
      </c>
      <c r="G2146" t="s">
        <v>221</v>
      </c>
      <c r="H2146" t="s">
        <v>16</v>
      </c>
      <c r="I2146" t="s">
        <v>464</v>
      </c>
      <c r="J2146" t="s">
        <v>465</v>
      </c>
      <c r="K2146" t="s">
        <v>1809</v>
      </c>
      <c r="L2146" t="str">
        <f>HYPERLINK("https://business-monitor.ch/de/companies/1046807-ams-transporte-gmbh?utm_source=oberaargau","PROFIL ANSEHEN")</f>
        <v>PROFIL ANSEHEN</v>
      </c>
    </row>
    <row r="2147" spans="1:12" x14ac:dyDescent="0.2">
      <c r="A2147" t="s">
        <v>9679</v>
      </c>
      <c r="B2147" t="s">
        <v>9680</v>
      </c>
      <c r="C2147" t="s">
        <v>1812</v>
      </c>
      <c r="E2147" t="s">
        <v>9681</v>
      </c>
      <c r="F2147">
        <v>4913</v>
      </c>
      <c r="G2147" t="s">
        <v>207</v>
      </c>
      <c r="H2147" t="s">
        <v>16</v>
      </c>
      <c r="I2147" t="s">
        <v>340</v>
      </c>
      <c r="J2147" t="s">
        <v>341</v>
      </c>
      <c r="K2147" t="s">
        <v>1809</v>
      </c>
      <c r="L2147" t="str">
        <f>HYPERLINK("https://business-monitor.ch/de/companies/725464-buecherwelt-alavi?utm_source=oberaargau","PROFIL ANSEHEN")</f>
        <v>PROFIL ANSEHEN</v>
      </c>
    </row>
    <row r="2148" spans="1:12" x14ac:dyDescent="0.2">
      <c r="A2148" t="s">
        <v>1276</v>
      </c>
      <c r="B2148" t="s">
        <v>3411</v>
      </c>
      <c r="C2148" t="s">
        <v>1812</v>
      </c>
      <c r="E2148" t="s">
        <v>1839</v>
      </c>
      <c r="F2148">
        <v>4914</v>
      </c>
      <c r="G2148" t="s">
        <v>717</v>
      </c>
      <c r="H2148" t="s">
        <v>16</v>
      </c>
      <c r="I2148" t="s">
        <v>175</v>
      </c>
      <c r="J2148" t="s">
        <v>176</v>
      </c>
      <c r="K2148" t="s">
        <v>1809</v>
      </c>
      <c r="L2148" t="str">
        <f>HYPERLINK("https://business-monitor.ch/de/companies/189229-carrosserie-silvio-torresan?utm_source=oberaargau","PROFIL ANSEHEN")</f>
        <v>PROFIL ANSEHEN</v>
      </c>
    </row>
    <row r="2149" spans="1:12" x14ac:dyDescent="0.2">
      <c r="A2149" t="s">
        <v>7478</v>
      </c>
      <c r="B2149" t="s">
        <v>7479</v>
      </c>
      <c r="C2149" t="s">
        <v>202</v>
      </c>
      <c r="E2149" t="s">
        <v>7480</v>
      </c>
      <c r="F2149">
        <v>4900</v>
      </c>
      <c r="G2149" t="s">
        <v>41</v>
      </c>
      <c r="H2149" t="s">
        <v>16</v>
      </c>
      <c r="I2149" t="s">
        <v>1470</v>
      </c>
      <c r="J2149" t="s">
        <v>1471</v>
      </c>
      <c r="K2149" t="s">
        <v>1809</v>
      </c>
      <c r="L2149" t="str">
        <f>HYPERLINK("https://business-monitor.ch/de/companies/731649-asl-suter-gmbh?utm_source=oberaargau","PROFIL ANSEHEN")</f>
        <v>PROFIL ANSEHEN</v>
      </c>
    </row>
    <row r="2150" spans="1:12" x14ac:dyDescent="0.2">
      <c r="A2150" t="s">
        <v>13621</v>
      </c>
      <c r="B2150" t="s">
        <v>13622</v>
      </c>
      <c r="C2150" t="s">
        <v>202</v>
      </c>
      <c r="E2150" t="s">
        <v>8143</v>
      </c>
      <c r="F2150">
        <v>3380</v>
      </c>
      <c r="G2150" t="s">
        <v>29</v>
      </c>
      <c r="H2150" t="s">
        <v>16</v>
      </c>
      <c r="I2150" t="s">
        <v>86</v>
      </c>
      <c r="J2150" t="s">
        <v>87</v>
      </c>
      <c r="K2150" t="s">
        <v>1809</v>
      </c>
      <c r="L2150" t="str">
        <f>HYPERLINK("https://business-monitor.ch/de/companies/1210733-vetsu-gmbh?utm_source=oberaargau","PROFIL ANSEHEN")</f>
        <v>PROFIL ANSEHEN</v>
      </c>
    </row>
    <row r="2151" spans="1:12" x14ac:dyDescent="0.2">
      <c r="A2151" t="s">
        <v>6101</v>
      </c>
      <c r="B2151" t="s">
        <v>6102</v>
      </c>
      <c r="C2151" t="s">
        <v>202</v>
      </c>
      <c r="E2151" t="s">
        <v>5751</v>
      </c>
      <c r="F2151">
        <v>4900</v>
      </c>
      <c r="G2151" t="s">
        <v>41</v>
      </c>
      <c r="H2151" t="s">
        <v>16</v>
      </c>
      <c r="I2151" t="s">
        <v>824</v>
      </c>
      <c r="J2151" t="s">
        <v>825</v>
      </c>
      <c r="K2151" t="s">
        <v>1809</v>
      </c>
      <c r="L2151" t="str">
        <f>HYPERLINK("https://business-monitor.ch/de/companies/405734-rainbow-gastro-gmbh?utm_source=oberaargau","PROFIL ANSEHEN")</f>
        <v>PROFIL ANSEHEN</v>
      </c>
    </row>
    <row r="2152" spans="1:12" x14ac:dyDescent="0.2">
      <c r="A2152" t="s">
        <v>2291</v>
      </c>
      <c r="B2152" t="s">
        <v>2292</v>
      </c>
      <c r="C2152" t="s">
        <v>1812</v>
      </c>
      <c r="E2152" t="s">
        <v>14503</v>
      </c>
      <c r="F2152">
        <v>4938</v>
      </c>
      <c r="G2152" t="s">
        <v>1909</v>
      </c>
      <c r="H2152" t="s">
        <v>16</v>
      </c>
      <c r="I2152" t="s">
        <v>2293</v>
      </c>
      <c r="J2152" t="s">
        <v>2294</v>
      </c>
      <c r="K2152" t="s">
        <v>1809</v>
      </c>
      <c r="L2152" t="str">
        <f>HYPERLINK("https://business-monitor.ch/de/companies/262904-leuenberger-volierenbau?utm_source=oberaargau","PROFIL ANSEHEN")</f>
        <v>PROFIL ANSEHEN</v>
      </c>
    </row>
    <row r="2153" spans="1:12" x14ac:dyDescent="0.2">
      <c r="A2153" t="s">
        <v>7073</v>
      </c>
      <c r="B2153" t="s">
        <v>7074</v>
      </c>
      <c r="C2153" t="s">
        <v>202</v>
      </c>
      <c r="E2153" t="s">
        <v>7075</v>
      </c>
      <c r="F2153">
        <v>4900</v>
      </c>
      <c r="G2153" t="s">
        <v>41</v>
      </c>
      <c r="H2153" t="s">
        <v>16</v>
      </c>
      <c r="I2153" t="s">
        <v>4940</v>
      </c>
      <c r="J2153" t="s">
        <v>4941</v>
      </c>
      <c r="K2153" t="s">
        <v>1809</v>
      </c>
      <c r="L2153" t="str">
        <f>HYPERLINK("https://business-monitor.ch/de/companies/1053703-psy-langenthal-gmbh?utm_source=oberaargau","PROFIL ANSEHEN")</f>
        <v>PROFIL ANSEHEN</v>
      </c>
    </row>
    <row r="2154" spans="1:12" x14ac:dyDescent="0.2">
      <c r="A2154" t="s">
        <v>8038</v>
      </c>
      <c r="B2154" t="s">
        <v>8039</v>
      </c>
      <c r="C2154" t="s">
        <v>1812</v>
      </c>
      <c r="E2154" t="s">
        <v>7961</v>
      </c>
      <c r="F2154">
        <v>4912</v>
      </c>
      <c r="G2154" t="s">
        <v>64</v>
      </c>
      <c r="H2154" t="s">
        <v>16</v>
      </c>
      <c r="I2154" t="s">
        <v>1865</v>
      </c>
      <c r="J2154" t="s">
        <v>1866</v>
      </c>
      <c r="K2154" t="s">
        <v>1809</v>
      </c>
      <c r="L2154" t="str">
        <f>HYPERLINK("https://business-monitor.ch/de/companies/439099-rentsch-hauswartungen?utm_source=oberaargau","PROFIL ANSEHEN")</f>
        <v>PROFIL ANSEHEN</v>
      </c>
    </row>
    <row r="2155" spans="1:12" x14ac:dyDescent="0.2">
      <c r="A2155" t="s">
        <v>6134</v>
      </c>
      <c r="B2155" t="s">
        <v>6135</v>
      </c>
      <c r="C2155" t="s">
        <v>13</v>
      </c>
      <c r="E2155" t="s">
        <v>6136</v>
      </c>
      <c r="F2155">
        <v>4922</v>
      </c>
      <c r="G2155" t="s">
        <v>99</v>
      </c>
      <c r="H2155" t="s">
        <v>16</v>
      </c>
      <c r="I2155" t="s">
        <v>1446</v>
      </c>
      <c r="J2155" t="s">
        <v>1447</v>
      </c>
      <c r="K2155" t="s">
        <v>1809</v>
      </c>
      <c r="L2155" t="str">
        <f>HYPERLINK("https://business-monitor.ch/de/companies/207191-roethlisberger-haustechnik-ag?utm_source=oberaargau","PROFIL ANSEHEN")</f>
        <v>PROFIL ANSEHEN</v>
      </c>
    </row>
    <row r="2156" spans="1:12" x14ac:dyDescent="0.2">
      <c r="A2156" t="s">
        <v>3538</v>
      </c>
      <c r="B2156" t="s">
        <v>3539</v>
      </c>
      <c r="C2156" t="s">
        <v>13</v>
      </c>
      <c r="E2156" t="s">
        <v>3540</v>
      </c>
      <c r="F2156">
        <v>4917</v>
      </c>
      <c r="G2156" t="s">
        <v>376</v>
      </c>
      <c r="H2156" t="s">
        <v>16</v>
      </c>
      <c r="I2156" t="s">
        <v>191</v>
      </c>
      <c r="J2156" t="s">
        <v>192</v>
      </c>
      <c r="K2156" t="s">
        <v>1809</v>
      </c>
      <c r="L2156" t="str">
        <f>HYPERLINK("https://business-monitor.ch/de/companies/140261-wenger-co-ag?utm_source=oberaargau","PROFIL ANSEHEN")</f>
        <v>PROFIL ANSEHEN</v>
      </c>
    </row>
    <row r="2157" spans="1:12" x14ac:dyDescent="0.2">
      <c r="A2157" t="s">
        <v>2450</v>
      </c>
      <c r="B2157" t="s">
        <v>2451</v>
      </c>
      <c r="C2157" t="s">
        <v>202</v>
      </c>
      <c r="E2157" t="s">
        <v>823</v>
      </c>
      <c r="F2157">
        <v>4704</v>
      </c>
      <c r="G2157" t="s">
        <v>221</v>
      </c>
      <c r="H2157" t="s">
        <v>16</v>
      </c>
      <c r="I2157" t="s">
        <v>824</v>
      </c>
      <c r="J2157" t="s">
        <v>825</v>
      </c>
      <c r="K2157" t="s">
        <v>1809</v>
      </c>
      <c r="L2157" t="str">
        <f>HYPERLINK("https://business-monitor.ch/de/companies/1059205-h-r-baeren-gmbh?utm_source=oberaargau","PROFIL ANSEHEN")</f>
        <v>PROFIL ANSEHEN</v>
      </c>
    </row>
    <row r="2158" spans="1:12" x14ac:dyDescent="0.2">
      <c r="A2158" t="s">
        <v>6341</v>
      </c>
      <c r="B2158" t="s">
        <v>6342</v>
      </c>
      <c r="C2158" t="s">
        <v>13</v>
      </c>
      <c r="D2158" t="s">
        <v>11221</v>
      </c>
      <c r="E2158" t="s">
        <v>1341</v>
      </c>
      <c r="F2158">
        <v>4900</v>
      </c>
      <c r="G2158" t="s">
        <v>41</v>
      </c>
      <c r="H2158" t="s">
        <v>16</v>
      </c>
      <c r="I2158" t="s">
        <v>157</v>
      </c>
      <c r="J2158" t="s">
        <v>158</v>
      </c>
      <c r="K2158" t="s">
        <v>1809</v>
      </c>
      <c r="L2158" t="str">
        <f>HYPERLINK("https://business-monitor.ch/de/companies/295653-apicius-ag?utm_source=oberaargau","PROFIL ANSEHEN")</f>
        <v>PROFIL ANSEHEN</v>
      </c>
    </row>
    <row r="2159" spans="1:12" x14ac:dyDescent="0.2">
      <c r="A2159" t="s">
        <v>11972</v>
      </c>
      <c r="B2159" t="s">
        <v>11973</v>
      </c>
      <c r="C2159" t="s">
        <v>202</v>
      </c>
      <c r="E2159" t="s">
        <v>12336</v>
      </c>
      <c r="F2159">
        <v>3362</v>
      </c>
      <c r="G2159" t="s">
        <v>47</v>
      </c>
      <c r="H2159" t="s">
        <v>16</v>
      </c>
      <c r="I2159" t="s">
        <v>854</v>
      </c>
      <c r="J2159" t="s">
        <v>855</v>
      </c>
      <c r="K2159" t="s">
        <v>1809</v>
      </c>
      <c r="L2159" t="str">
        <f>HYPERLINK("https://business-monitor.ch/de/companies/1167037-mm-inca-gmbh?utm_source=oberaargau","PROFIL ANSEHEN")</f>
        <v>PROFIL ANSEHEN</v>
      </c>
    </row>
    <row r="2160" spans="1:12" x14ac:dyDescent="0.2">
      <c r="A2160" t="s">
        <v>6999</v>
      </c>
      <c r="B2160" t="s">
        <v>7000</v>
      </c>
      <c r="C2160" t="s">
        <v>13</v>
      </c>
      <c r="E2160" t="s">
        <v>362</v>
      </c>
      <c r="F2160">
        <v>4923</v>
      </c>
      <c r="G2160" t="s">
        <v>732</v>
      </c>
      <c r="H2160" t="s">
        <v>16</v>
      </c>
      <c r="I2160" t="s">
        <v>175</v>
      </c>
      <c r="J2160" t="s">
        <v>176</v>
      </c>
      <c r="K2160" t="s">
        <v>1809</v>
      </c>
      <c r="L2160" t="str">
        <f>HYPERLINK("https://business-monitor.ch/de/companies/729186-schoeni-service-ag?utm_source=oberaargau","PROFIL ANSEHEN")</f>
        <v>PROFIL ANSEHEN</v>
      </c>
    </row>
    <row r="2161" spans="1:12" x14ac:dyDescent="0.2">
      <c r="A2161" t="s">
        <v>2220</v>
      </c>
      <c r="B2161" t="s">
        <v>2221</v>
      </c>
      <c r="C2161" t="s">
        <v>13</v>
      </c>
      <c r="E2161" t="s">
        <v>1445</v>
      </c>
      <c r="F2161">
        <v>4932</v>
      </c>
      <c r="G2161" t="s">
        <v>325</v>
      </c>
      <c r="H2161" t="s">
        <v>16</v>
      </c>
      <c r="I2161" t="s">
        <v>182</v>
      </c>
      <c r="J2161" t="s">
        <v>183</v>
      </c>
      <c r="K2161" t="s">
        <v>1809</v>
      </c>
      <c r="L2161" t="str">
        <f>HYPERLINK("https://business-monitor.ch/de/companies/1060367-gefi-ag?utm_source=oberaargau","PROFIL ANSEHEN")</f>
        <v>PROFIL ANSEHEN</v>
      </c>
    </row>
    <row r="2162" spans="1:12" x14ac:dyDescent="0.2">
      <c r="A2162" t="s">
        <v>14207</v>
      </c>
      <c r="B2162" t="s">
        <v>14208</v>
      </c>
      <c r="C2162" t="s">
        <v>1812</v>
      </c>
      <c r="D2162" t="s">
        <v>14209</v>
      </c>
      <c r="E2162" t="s">
        <v>12643</v>
      </c>
      <c r="F2162">
        <v>3360</v>
      </c>
      <c r="G2162" t="s">
        <v>35</v>
      </c>
      <c r="H2162" t="s">
        <v>16</v>
      </c>
      <c r="I2162" t="s">
        <v>2748</v>
      </c>
      <c r="J2162" t="s">
        <v>2749</v>
      </c>
      <c r="K2162" t="s">
        <v>1809</v>
      </c>
      <c r="L2162" t="str">
        <f>HYPERLINK("https://business-monitor.ch/de/companies/1293585-goldenes-ich-flavia-mumenthaler?utm_source=oberaargau","PROFIL ANSEHEN")</f>
        <v>PROFIL ANSEHEN</v>
      </c>
    </row>
    <row r="2163" spans="1:12" x14ac:dyDescent="0.2">
      <c r="A2163" t="s">
        <v>12886</v>
      </c>
      <c r="B2163" t="s">
        <v>12887</v>
      </c>
      <c r="C2163" t="s">
        <v>13</v>
      </c>
      <c r="E2163" t="s">
        <v>12888</v>
      </c>
      <c r="F2163">
        <v>3380</v>
      </c>
      <c r="G2163" t="s">
        <v>29</v>
      </c>
      <c r="H2163" t="s">
        <v>16</v>
      </c>
      <c r="I2163" t="s">
        <v>186</v>
      </c>
      <c r="J2163" t="s">
        <v>187</v>
      </c>
      <c r="K2163" t="s">
        <v>1809</v>
      </c>
      <c r="L2163" t="str">
        <f>HYPERLINK("https://business-monitor.ch/de/companies/1215399-kad-holding-ag?utm_source=oberaargau","PROFIL ANSEHEN")</f>
        <v>PROFIL ANSEHEN</v>
      </c>
    </row>
    <row r="2164" spans="1:12" x14ac:dyDescent="0.2">
      <c r="A2164" t="s">
        <v>13711</v>
      </c>
      <c r="B2164" t="s">
        <v>13712</v>
      </c>
      <c r="C2164" t="s">
        <v>1812</v>
      </c>
      <c r="E2164" t="s">
        <v>13713</v>
      </c>
      <c r="F2164">
        <v>3360</v>
      </c>
      <c r="G2164" t="s">
        <v>35</v>
      </c>
      <c r="H2164" t="s">
        <v>16</v>
      </c>
      <c r="I2164" t="s">
        <v>433</v>
      </c>
      <c r="J2164" t="s">
        <v>434</v>
      </c>
      <c r="K2164" t="s">
        <v>1809</v>
      </c>
      <c r="L2164" t="str">
        <f>HYPERLINK("https://business-monitor.ch/de/companies/1261371-sorpreza-by-laura-antonia-iseli?utm_source=oberaargau","PROFIL ANSEHEN")</f>
        <v>PROFIL ANSEHEN</v>
      </c>
    </row>
    <row r="2165" spans="1:12" x14ac:dyDescent="0.2">
      <c r="A2165" t="s">
        <v>4218</v>
      </c>
      <c r="B2165" t="s">
        <v>4219</v>
      </c>
      <c r="C2165" t="s">
        <v>202</v>
      </c>
      <c r="E2165" t="s">
        <v>4220</v>
      </c>
      <c r="F2165">
        <v>4914</v>
      </c>
      <c r="G2165" t="s">
        <v>105</v>
      </c>
      <c r="H2165" t="s">
        <v>16</v>
      </c>
      <c r="I2165" t="s">
        <v>4221</v>
      </c>
      <c r="J2165" t="s">
        <v>4222</v>
      </c>
      <c r="K2165" t="s">
        <v>1809</v>
      </c>
      <c r="L2165" t="str">
        <f>HYPERLINK("https://business-monitor.ch/de/companies/996764-schenk-kaltenherberg-gmbh?utm_source=oberaargau","PROFIL ANSEHEN")</f>
        <v>PROFIL ANSEHEN</v>
      </c>
    </row>
    <row r="2166" spans="1:12" x14ac:dyDescent="0.2">
      <c r="A2166" t="s">
        <v>4126</v>
      </c>
      <c r="B2166" t="s">
        <v>4127</v>
      </c>
      <c r="C2166" t="s">
        <v>13</v>
      </c>
      <c r="E2166" t="s">
        <v>4128</v>
      </c>
      <c r="F2166">
        <v>4955</v>
      </c>
      <c r="G2166" t="s">
        <v>684</v>
      </c>
      <c r="H2166" t="s">
        <v>16</v>
      </c>
      <c r="I2166" t="s">
        <v>935</v>
      </c>
      <c r="J2166" t="s">
        <v>936</v>
      </c>
      <c r="K2166" t="s">
        <v>1809</v>
      </c>
      <c r="L2166" t="str">
        <f>HYPERLINK("https://business-monitor.ch/de/companies/1029677-fritz-schaer-ag?utm_source=oberaargau","PROFIL ANSEHEN")</f>
        <v>PROFIL ANSEHEN</v>
      </c>
    </row>
    <row r="2167" spans="1:12" x14ac:dyDescent="0.2">
      <c r="A2167" t="s">
        <v>2194</v>
      </c>
      <c r="B2167" t="s">
        <v>2195</v>
      </c>
      <c r="C2167" t="s">
        <v>13</v>
      </c>
      <c r="E2167" t="s">
        <v>2196</v>
      </c>
      <c r="F2167">
        <v>3380</v>
      </c>
      <c r="G2167" t="s">
        <v>29</v>
      </c>
      <c r="H2167" t="s">
        <v>16</v>
      </c>
      <c r="I2167" t="s">
        <v>2197</v>
      </c>
      <c r="J2167" t="s">
        <v>2198</v>
      </c>
      <c r="K2167" t="s">
        <v>1809</v>
      </c>
      <c r="L2167" t="str">
        <f>HYPERLINK("https://business-monitor.ch/de/companies/1071517-zaehntrum-wangen-ag?utm_source=oberaargau","PROFIL ANSEHEN")</f>
        <v>PROFIL ANSEHEN</v>
      </c>
    </row>
    <row r="2168" spans="1:12" x14ac:dyDescent="0.2">
      <c r="A2168" t="s">
        <v>9914</v>
      </c>
      <c r="B2168" t="s">
        <v>9915</v>
      </c>
      <c r="C2168" t="s">
        <v>13</v>
      </c>
      <c r="D2168" t="s">
        <v>5900</v>
      </c>
      <c r="E2168" t="s">
        <v>9916</v>
      </c>
      <c r="F2168">
        <v>4900</v>
      </c>
      <c r="G2168" t="s">
        <v>41</v>
      </c>
      <c r="H2168" t="s">
        <v>16</v>
      </c>
      <c r="I2168" t="s">
        <v>182</v>
      </c>
      <c r="J2168" t="s">
        <v>183</v>
      </c>
      <c r="K2168" t="s">
        <v>1809</v>
      </c>
      <c r="L2168" t="str">
        <f>HYPERLINK("https://business-monitor.ch/de/companies/961714-bbbr-holding-ag?utm_source=oberaargau","PROFIL ANSEHEN")</f>
        <v>PROFIL ANSEHEN</v>
      </c>
    </row>
    <row r="2169" spans="1:12" x14ac:dyDescent="0.2">
      <c r="A2169" t="s">
        <v>12360</v>
      </c>
      <c r="B2169" t="s">
        <v>12361</v>
      </c>
      <c r="C2169" t="s">
        <v>202</v>
      </c>
      <c r="D2169" t="s">
        <v>12362</v>
      </c>
      <c r="E2169" t="s">
        <v>12363</v>
      </c>
      <c r="F2169">
        <v>3365</v>
      </c>
      <c r="G2169" t="s">
        <v>1008</v>
      </c>
      <c r="H2169" t="s">
        <v>16</v>
      </c>
      <c r="I2169" t="s">
        <v>304</v>
      </c>
      <c r="J2169" t="s">
        <v>305</v>
      </c>
      <c r="K2169" t="s">
        <v>1809</v>
      </c>
      <c r="L2169" t="str">
        <f>HYPERLINK("https://business-monitor.ch/de/companies/1200526-dachkraft-gmbh?utm_source=oberaargau","PROFIL ANSEHEN")</f>
        <v>PROFIL ANSEHEN</v>
      </c>
    </row>
    <row r="2170" spans="1:12" x14ac:dyDescent="0.2">
      <c r="A2170" t="s">
        <v>7101</v>
      </c>
      <c r="B2170" t="s">
        <v>7102</v>
      </c>
      <c r="C2170" t="s">
        <v>202</v>
      </c>
      <c r="E2170" t="s">
        <v>1477</v>
      </c>
      <c r="F2170">
        <v>4912</v>
      </c>
      <c r="G2170" t="s">
        <v>64</v>
      </c>
      <c r="H2170" t="s">
        <v>16</v>
      </c>
      <c r="I2170" t="s">
        <v>1097</v>
      </c>
      <c r="J2170" t="s">
        <v>1098</v>
      </c>
      <c r="K2170" t="s">
        <v>1809</v>
      </c>
      <c r="L2170" t="str">
        <f>HYPERLINK("https://business-monitor.ch/de/companies/947327-swiss-paracord-gmbh?utm_source=oberaargau","PROFIL ANSEHEN")</f>
        <v>PROFIL ANSEHEN</v>
      </c>
    </row>
    <row r="2171" spans="1:12" x14ac:dyDescent="0.2">
      <c r="A2171" t="s">
        <v>4345</v>
      </c>
      <c r="B2171" t="s">
        <v>4346</v>
      </c>
      <c r="C2171" t="s">
        <v>202</v>
      </c>
      <c r="E2171" t="s">
        <v>4811</v>
      </c>
      <c r="F2171">
        <v>4900</v>
      </c>
      <c r="G2171" t="s">
        <v>41</v>
      </c>
      <c r="H2171" t="s">
        <v>16</v>
      </c>
      <c r="I2171" t="s">
        <v>153</v>
      </c>
      <c r="J2171" t="s">
        <v>154</v>
      </c>
      <c r="K2171" t="s">
        <v>1809</v>
      </c>
      <c r="L2171" t="str">
        <f>HYPERLINK("https://business-monitor.ch/de/companies/961998-buntech-gmbh?utm_source=oberaargau","PROFIL ANSEHEN")</f>
        <v>PROFIL ANSEHEN</v>
      </c>
    </row>
    <row r="2172" spans="1:12" x14ac:dyDescent="0.2">
      <c r="A2172" t="s">
        <v>13634</v>
      </c>
      <c r="B2172" t="s">
        <v>13635</v>
      </c>
      <c r="C2172" t="s">
        <v>1812</v>
      </c>
      <c r="E2172" t="s">
        <v>13636</v>
      </c>
      <c r="F2172">
        <v>4950</v>
      </c>
      <c r="G2172" t="s">
        <v>15</v>
      </c>
      <c r="H2172" t="s">
        <v>16</v>
      </c>
      <c r="I2172" t="s">
        <v>1936</v>
      </c>
      <c r="J2172" t="s">
        <v>1937</v>
      </c>
      <c r="K2172" t="s">
        <v>1809</v>
      </c>
      <c r="L2172" t="str">
        <f>HYPERLINK("https://business-monitor.ch/de/companies/1261807-sempre-pronto-inhaber-mueller?utm_source=oberaargau","PROFIL ANSEHEN")</f>
        <v>PROFIL ANSEHEN</v>
      </c>
    </row>
    <row r="2173" spans="1:12" x14ac:dyDescent="0.2">
      <c r="A2173" t="s">
        <v>7492</v>
      </c>
      <c r="B2173" t="s">
        <v>7493</v>
      </c>
      <c r="C2173" t="s">
        <v>2258</v>
      </c>
      <c r="E2173" t="s">
        <v>7494</v>
      </c>
      <c r="F2173">
        <v>4900</v>
      </c>
      <c r="G2173" t="s">
        <v>41</v>
      </c>
      <c r="H2173" t="s">
        <v>16</v>
      </c>
      <c r="I2173" t="s">
        <v>2912</v>
      </c>
      <c r="J2173" t="s">
        <v>2913</v>
      </c>
      <c r="K2173" t="s">
        <v>1809</v>
      </c>
      <c r="L2173" t="str">
        <f>HYPERLINK("https://business-monitor.ch/de/companies/727505-verein-caffe-sospeso?utm_source=oberaargau","PROFIL ANSEHEN")</f>
        <v>PROFIL ANSEHEN</v>
      </c>
    </row>
    <row r="2174" spans="1:12" x14ac:dyDescent="0.2">
      <c r="A2174" t="s">
        <v>5432</v>
      </c>
      <c r="B2174" t="s">
        <v>5433</v>
      </c>
      <c r="C2174" t="s">
        <v>1812</v>
      </c>
      <c r="E2174" t="s">
        <v>5434</v>
      </c>
      <c r="F2174">
        <v>4934</v>
      </c>
      <c r="G2174" t="s">
        <v>670</v>
      </c>
      <c r="H2174" t="s">
        <v>16</v>
      </c>
      <c r="I2174" t="s">
        <v>5435</v>
      </c>
      <c r="J2174" t="s">
        <v>5436</v>
      </c>
      <c r="K2174" t="s">
        <v>1809</v>
      </c>
      <c r="L2174" t="str">
        <f>HYPERLINK("https://business-monitor.ch/de/companies/225170-deli-lampen-dennler-yvonne?utm_source=oberaargau","PROFIL ANSEHEN")</f>
        <v>PROFIL ANSEHEN</v>
      </c>
    </row>
    <row r="2175" spans="1:12" x14ac:dyDescent="0.2">
      <c r="A2175" t="s">
        <v>14023</v>
      </c>
      <c r="B2175" t="s">
        <v>14024</v>
      </c>
      <c r="C2175" t="s">
        <v>202</v>
      </c>
      <c r="E2175" t="s">
        <v>7233</v>
      </c>
      <c r="F2175">
        <v>4914</v>
      </c>
      <c r="G2175" t="s">
        <v>105</v>
      </c>
      <c r="H2175" t="s">
        <v>16</v>
      </c>
      <c r="I2175" t="s">
        <v>642</v>
      </c>
      <c r="J2175" t="s">
        <v>643</v>
      </c>
      <c r="K2175" t="s">
        <v>1809</v>
      </c>
      <c r="L2175" t="str">
        <f>HYPERLINK("https://business-monitor.ch/de/companies/1275552-vali-s-garage-gmbh?utm_source=oberaargau","PROFIL ANSEHEN")</f>
        <v>PROFIL ANSEHEN</v>
      </c>
    </row>
    <row r="2176" spans="1:12" x14ac:dyDescent="0.2">
      <c r="A2176" t="s">
        <v>9020</v>
      </c>
      <c r="B2176" t="s">
        <v>10719</v>
      </c>
      <c r="C2176" t="s">
        <v>1812</v>
      </c>
      <c r="E2176" t="s">
        <v>10720</v>
      </c>
      <c r="F2176">
        <v>4932</v>
      </c>
      <c r="G2176" t="s">
        <v>325</v>
      </c>
      <c r="H2176" t="s">
        <v>16</v>
      </c>
      <c r="I2176" t="s">
        <v>748</v>
      </c>
      <c r="J2176" t="s">
        <v>749</v>
      </c>
      <c r="K2176" t="s">
        <v>1809</v>
      </c>
      <c r="L2176" t="str">
        <f>HYPERLINK("https://business-monitor.ch/de/companies/226126-malergeschaeft-alexander-steiner?utm_source=oberaargau","PROFIL ANSEHEN")</f>
        <v>PROFIL ANSEHEN</v>
      </c>
    </row>
    <row r="2177" spans="1:12" x14ac:dyDescent="0.2">
      <c r="A2177" t="s">
        <v>12741</v>
      </c>
      <c r="B2177" t="s">
        <v>12742</v>
      </c>
      <c r="C2177" t="s">
        <v>1812</v>
      </c>
      <c r="E2177" t="s">
        <v>12743</v>
      </c>
      <c r="F2177">
        <v>4912</v>
      </c>
      <c r="G2177" t="s">
        <v>64</v>
      </c>
      <c r="H2177" t="s">
        <v>16</v>
      </c>
      <c r="I2177" t="s">
        <v>1296</v>
      </c>
      <c r="J2177" t="s">
        <v>1297</v>
      </c>
      <c r="K2177" t="s">
        <v>1809</v>
      </c>
      <c r="L2177" t="str">
        <f>HYPERLINK("https://business-monitor.ch/de/companies/1218528-affiliate-luzhnica?utm_source=oberaargau","PROFIL ANSEHEN")</f>
        <v>PROFIL ANSEHEN</v>
      </c>
    </row>
    <row r="2178" spans="1:12" x14ac:dyDescent="0.2">
      <c r="A2178" t="s">
        <v>3602</v>
      </c>
      <c r="B2178" t="s">
        <v>3603</v>
      </c>
      <c r="C2178" t="s">
        <v>13</v>
      </c>
      <c r="E2178" t="s">
        <v>3604</v>
      </c>
      <c r="F2178">
        <v>3360</v>
      </c>
      <c r="G2178" t="s">
        <v>35</v>
      </c>
      <c r="H2178" t="s">
        <v>16</v>
      </c>
      <c r="I2178" t="s">
        <v>1470</v>
      </c>
      <c r="J2178" t="s">
        <v>1471</v>
      </c>
      <c r="K2178" t="s">
        <v>1809</v>
      </c>
      <c r="L2178" t="str">
        <f>HYPERLINK("https://business-monitor.ch/de/companies/98680-burkhardt-haustechnik-ag?utm_source=oberaargau","PROFIL ANSEHEN")</f>
        <v>PROFIL ANSEHEN</v>
      </c>
    </row>
    <row r="2179" spans="1:12" x14ac:dyDescent="0.2">
      <c r="A2179" t="s">
        <v>7162</v>
      </c>
      <c r="B2179" t="s">
        <v>7163</v>
      </c>
      <c r="C2179" t="s">
        <v>1827</v>
      </c>
      <c r="E2179" t="s">
        <v>7164</v>
      </c>
      <c r="F2179">
        <v>4914</v>
      </c>
      <c r="G2179" t="s">
        <v>105</v>
      </c>
      <c r="H2179" t="s">
        <v>16</v>
      </c>
      <c r="I2179" t="s">
        <v>4577</v>
      </c>
      <c r="J2179" t="s">
        <v>4578</v>
      </c>
      <c r="K2179" t="s">
        <v>1809</v>
      </c>
      <c r="L2179" t="str">
        <f>HYPERLINK("https://business-monitor.ch/de/companies/941090-kreativatelier-zwaerge-waerch-klg?utm_source=oberaargau","PROFIL ANSEHEN")</f>
        <v>PROFIL ANSEHEN</v>
      </c>
    </row>
    <row r="2180" spans="1:12" x14ac:dyDescent="0.2">
      <c r="A2180" t="s">
        <v>5064</v>
      </c>
      <c r="B2180" t="s">
        <v>5065</v>
      </c>
      <c r="C2180" t="s">
        <v>2010</v>
      </c>
      <c r="E2180" t="s">
        <v>5066</v>
      </c>
      <c r="F2180">
        <v>4935</v>
      </c>
      <c r="G2180" t="s">
        <v>443</v>
      </c>
      <c r="H2180" t="s">
        <v>16</v>
      </c>
      <c r="I2180" t="s">
        <v>642</v>
      </c>
      <c r="J2180" t="s">
        <v>643</v>
      </c>
      <c r="K2180" t="s">
        <v>1809</v>
      </c>
      <c r="L2180" t="str">
        <f>HYPERLINK("https://business-monitor.ch/de/companies/211490-m-buehler-co?utm_source=oberaargau","PROFIL ANSEHEN")</f>
        <v>PROFIL ANSEHEN</v>
      </c>
    </row>
    <row r="2181" spans="1:12" x14ac:dyDescent="0.2">
      <c r="A2181" t="s">
        <v>9383</v>
      </c>
      <c r="B2181" t="s">
        <v>9384</v>
      </c>
      <c r="C2181" t="s">
        <v>13</v>
      </c>
      <c r="E2181" t="s">
        <v>9385</v>
      </c>
      <c r="F2181">
        <v>3365</v>
      </c>
      <c r="G2181" t="s">
        <v>2390</v>
      </c>
      <c r="H2181" t="s">
        <v>16</v>
      </c>
      <c r="I2181" t="s">
        <v>642</v>
      </c>
      <c r="J2181" t="s">
        <v>643</v>
      </c>
      <c r="K2181" t="s">
        <v>1809</v>
      </c>
      <c r="L2181" t="str">
        <f>HYPERLINK("https://business-monitor.ch/de/companies/63683-garage-meister-ag?utm_source=oberaargau","PROFIL ANSEHEN")</f>
        <v>PROFIL ANSEHEN</v>
      </c>
    </row>
    <row r="2182" spans="1:12" x14ac:dyDescent="0.2">
      <c r="A2182" t="s">
        <v>9986</v>
      </c>
      <c r="B2182" t="s">
        <v>9987</v>
      </c>
      <c r="C2182" t="s">
        <v>1812</v>
      </c>
      <c r="E2182" t="s">
        <v>9988</v>
      </c>
      <c r="F2182">
        <v>4900</v>
      </c>
      <c r="G2182" t="s">
        <v>41</v>
      </c>
      <c r="H2182" t="s">
        <v>16</v>
      </c>
      <c r="I2182" t="s">
        <v>1865</v>
      </c>
      <c r="J2182" t="s">
        <v>1866</v>
      </c>
      <c r="K2182" t="s">
        <v>1809</v>
      </c>
      <c r="L2182" t="str">
        <f>HYPERLINK("https://business-monitor.ch/de/companies/729983-markus-daellenbach?utm_source=oberaargau","PROFIL ANSEHEN")</f>
        <v>PROFIL ANSEHEN</v>
      </c>
    </row>
    <row r="2183" spans="1:12" x14ac:dyDescent="0.2">
      <c r="A2183" t="s">
        <v>14053</v>
      </c>
      <c r="B2183" t="s">
        <v>14054</v>
      </c>
      <c r="C2183" t="s">
        <v>1812</v>
      </c>
      <c r="E2183" t="s">
        <v>14055</v>
      </c>
      <c r="F2183">
        <v>3360</v>
      </c>
      <c r="G2183" t="s">
        <v>35</v>
      </c>
      <c r="H2183" t="s">
        <v>16</v>
      </c>
      <c r="I2183" t="s">
        <v>6550</v>
      </c>
      <c r="J2183" t="s">
        <v>6551</v>
      </c>
      <c r="K2183" t="s">
        <v>1809</v>
      </c>
      <c r="L2183" t="str">
        <f>HYPERLINK("https://business-monitor.ch/de/companies/1281702-viehhandel-zaugg?utm_source=oberaargau","PROFIL ANSEHEN")</f>
        <v>PROFIL ANSEHEN</v>
      </c>
    </row>
    <row r="2184" spans="1:12" x14ac:dyDescent="0.2">
      <c r="A2184" t="s">
        <v>2485</v>
      </c>
      <c r="B2184" t="s">
        <v>2486</v>
      </c>
      <c r="C2184" t="s">
        <v>13</v>
      </c>
      <c r="E2184" t="s">
        <v>1547</v>
      </c>
      <c r="F2184">
        <v>4900</v>
      </c>
      <c r="G2184" t="s">
        <v>41</v>
      </c>
      <c r="H2184" t="s">
        <v>16</v>
      </c>
      <c r="I2184" t="s">
        <v>331</v>
      </c>
      <c r="J2184" t="s">
        <v>332</v>
      </c>
      <c r="K2184" t="s">
        <v>1809</v>
      </c>
      <c r="L2184" t="str">
        <f>HYPERLINK("https://business-monitor.ch/de/companies/150551-friedli-mechanik-ag?utm_source=oberaargau","PROFIL ANSEHEN")</f>
        <v>PROFIL ANSEHEN</v>
      </c>
    </row>
    <row r="2185" spans="1:12" x14ac:dyDescent="0.2">
      <c r="A2185" t="s">
        <v>10449</v>
      </c>
      <c r="B2185" t="s">
        <v>10450</v>
      </c>
      <c r="C2185" t="s">
        <v>202</v>
      </c>
      <c r="E2185" t="s">
        <v>4756</v>
      </c>
      <c r="F2185">
        <v>4900</v>
      </c>
      <c r="G2185" t="s">
        <v>41</v>
      </c>
      <c r="H2185" t="s">
        <v>16</v>
      </c>
      <c r="I2185" t="s">
        <v>862</v>
      </c>
      <c r="J2185" t="s">
        <v>863</v>
      </c>
      <c r="K2185" t="s">
        <v>1809</v>
      </c>
      <c r="L2185" t="str">
        <f>HYPERLINK("https://business-monitor.ch/de/companies/1090098-druckerei-greub-fuhrer-gmbh?utm_source=oberaargau","PROFIL ANSEHEN")</f>
        <v>PROFIL ANSEHEN</v>
      </c>
    </row>
    <row r="2186" spans="1:12" x14ac:dyDescent="0.2">
      <c r="A2186" t="s">
        <v>11718</v>
      </c>
      <c r="B2186" t="s">
        <v>11719</v>
      </c>
      <c r="C2186" t="s">
        <v>1812</v>
      </c>
      <c r="E2186" t="s">
        <v>11720</v>
      </c>
      <c r="F2186">
        <v>4914</v>
      </c>
      <c r="G2186" t="s">
        <v>105</v>
      </c>
      <c r="H2186" t="s">
        <v>16</v>
      </c>
      <c r="I2186" t="s">
        <v>1860</v>
      </c>
      <c r="J2186" t="s">
        <v>1861</v>
      </c>
      <c r="K2186" t="s">
        <v>1809</v>
      </c>
      <c r="L2186" t="str">
        <f>HYPERLINK("https://business-monitor.ch/de/companies/1153820-coiffure-cityline-inhaberin-janine-gygax-pauli?utm_source=oberaargau","PROFIL ANSEHEN")</f>
        <v>PROFIL ANSEHEN</v>
      </c>
    </row>
    <row r="2187" spans="1:12" x14ac:dyDescent="0.2">
      <c r="A2187" t="s">
        <v>12879</v>
      </c>
      <c r="B2187" t="s">
        <v>12880</v>
      </c>
      <c r="C2187" t="s">
        <v>202</v>
      </c>
      <c r="E2187" t="s">
        <v>879</v>
      </c>
      <c r="F2187">
        <v>3360</v>
      </c>
      <c r="G2187" t="s">
        <v>35</v>
      </c>
      <c r="H2187" t="s">
        <v>16</v>
      </c>
      <c r="I2187" t="s">
        <v>854</v>
      </c>
      <c r="J2187" t="s">
        <v>855</v>
      </c>
      <c r="K2187" t="s">
        <v>1809</v>
      </c>
      <c r="L2187" t="str">
        <f>HYPERLINK("https://business-monitor.ch/de/companies/1223474-swiss-software-helden-gmbh?utm_source=oberaargau","PROFIL ANSEHEN")</f>
        <v>PROFIL ANSEHEN</v>
      </c>
    </row>
    <row r="2188" spans="1:12" x14ac:dyDescent="0.2">
      <c r="A2188" t="s">
        <v>9947</v>
      </c>
      <c r="B2188" t="s">
        <v>9948</v>
      </c>
      <c r="C2188" t="s">
        <v>202</v>
      </c>
      <c r="E2188" t="s">
        <v>1084</v>
      </c>
      <c r="F2188">
        <v>4900</v>
      </c>
      <c r="G2188" t="s">
        <v>41</v>
      </c>
      <c r="H2188" t="s">
        <v>16</v>
      </c>
      <c r="I2188" t="s">
        <v>186</v>
      </c>
      <c r="J2188" t="s">
        <v>187</v>
      </c>
      <c r="K2188" t="s">
        <v>1809</v>
      </c>
      <c r="L2188" t="str">
        <f>HYPERLINK("https://business-monitor.ch/de/companies/944060-mmb-holding-gmbh?utm_source=oberaargau","PROFIL ANSEHEN")</f>
        <v>PROFIL ANSEHEN</v>
      </c>
    </row>
    <row r="2189" spans="1:12" x14ac:dyDescent="0.2">
      <c r="A2189" t="s">
        <v>8584</v>
      </c>
      <c r="B2189" t="s">
        <v>8585</v>
      </c>
      <c r="C2189" t="s">
        <v>2258</v>
      </c>
      <c r="E2189" t="s">
        <v>947</v>
      </c>
      <c r="F2189">
        <v>4900</v>
      </c>
      <c r="G2189" t="s">
        <v>41</v>
      </c>
      <c r="H2189" t="s">
        <v>16</v>
      </c>
      <c r="I2189" t="s">
        <v>640</v>
      </c>
      <c r="J2189" t="s">
        <v>641</v>
      </c>
      <c r="K2189" t="s">
        <v>1809</v>
      </c>
      <c r="L2189" t="str">
        <f>HYPERLINK("https://business-monitor.ch/de/companies/77102-region-oberaargau?utm_source=oberaargau","PROFIL ANSEHEN")</f>
        <v>PROFIL ANSEHEN</v>
      </c>
    </row>
    <row r="2190" spans="1:12" x14ac:dyDescent="0.2">
      <c r="A2190" t="s">
        <v>8636</v>
      </c>
      <c r="B2190" t="s">
        <v>8637</v>
      </c>
      <c r="C2190" t="s">
        <v>202</v>
      </c>
      <c r="E2190" t="s">
        <v>4530</v>
      </c>
      <c r="F2190">
        <v>4932</v>
      </c>
      <c r="G2190" t="s">
        <v>325</v>
      </c>
      <c r="H2190" t="s">
        <v>16</v>
      </c>
      <c r="I2190" t="s">
        <v>77</v>
      </c>
      <c r="J2190" t="s">
        <v>78</v>
      </c>
      <c r="K2190" t="s">
        <v>1809</v>
      </c>
      <c r="L2190" t="str">
        <f>HYPERLINK("https://business-monitor.ch/de/companies/431962-inno-trend-gmbh?utm_source=oberaargau","PROFIL ANSEHEN")</f>
        <v>PROFIL ANSEHEN</v>
      </c>
    </row>
    <row r="2191" spans="1:12" x14ac:dyDescent="0.2">
      <c r="A2191" t="s">
        <v>2452</v>
      </c>
      <c r="B2191" t="s">
        <v>2453</v>
      </c>
      <c r="C2191" t="s">
        <v>1827</v>
      </c>
      <c r="E2191" t="s">
        <v>2454</v>
      </c>
      <c r="F2191">
        <v>4922</v>
      </c>
      <c r="G2191" t="s">
        <v>99</v>
      </c>
      <c r="H2191" t="s">
        <v>16</v>
      </c>
      <c r="I2191" t="s">
        <v>1865</v>
      </c>
      <c r="J2191" t="s">
        <v>1866</v>
      </c>
      <c r="K2191" t="s">
        <v>1809</v>
      </c>
      <c r="L2191" t="str">
        <f>HYPERLINK("https://business-monitor.ch/de/companies/518871-u-b-steiner-hauswartung-reinigung?utm_source=oberaargau","PROFIL ANSEHEN")</f>
        <v>PROFIL ANSEHEN</v>
      </c>
    </row>
    <row r="2192" spans="1:12" x14ac:dyDescent="0.2">
      <c r="A2192" t="s">
        <v>8419</v>
      </c>
      <c r="B2192" t="s">
        <v>8420</v>
      </c>
      <c r="C2192" t="s">
        <v>202</v>
      </c>
      <c r="E2192" t="s">
        <v>2629</v>
      </c>
      <c r="F2192">
        <v>4912</v>
      </c>
      <c r="G2192" t="s">
        <v>64</v>
      </c>
      <c r="H2192" t="s">
        <v>16</v>
      </c>
      <c r="I2192" t="s">
        <v>186</v>
      </c>
      <c r="J2192" t="s">
        <v>187</v>
      </c>
      <c r="K2192" t="s">
        <v>1809</v>
      </c>
      <c r="L2192" t="str">
        <f>HYPERLINK("https://business-monitor.ch/de/companies/520424-ber-20-gmbh?utm_source=oberaargau","PROFIL ANSEHEN")</f>
        <v>PROFIL ANSEHEN</v>
      </c>
    </row>
    <row r="2193" spans="1:12" x14ac:dyDescent="0.2">
      <c r="A2193" t="s">
        <v>9586</v>
      </c>
      <c r="B2193" t="s">
        <v>9587</v>
      </c>
      <c r="C2193" t="s">
        <v>1812</v>
      </c>
      <c r="E2193" t="s">
        <v>9588</v>
      </c>
      <c r="F2193">
        <v>4917</v>
      </c>
      <c r="G2193" t="s">
        <v>376</v>
      </c>
      <c r="H2193" t="s">
        <v>16</v>
      </c>
      <c r="I2193" t="s">
        <v>603</v>
      </c>
      <c r="J2193" t="s">
        <v>604</v>
      </c>
      <c r="K2193" t="s">
        <v>1809</v>
      </c>
      <c r="L2193" t="str">
        <f>HYPERLINK("https://business-monitor.ch/de/companies/952930-max-lucchini-fischereiartikel?utm_source=oberaargau","PROFIL ANSEHEN")</f>
        <v>PROFIL ANSEHEN</v>
      </c>
    </row>
    <row r="2194" spans="1:12" x14ac:dyDescent="0.2">
      <c r="A2194" t="s">
        <v>10019</v>
      </c>
      <c r="B2194" t="s">
        <v>10020</v>
      </c>
      <c r="C2194" t="s">
        <v>202</v>
      </c>
      <c r="E2194" t="s">
        <v>10021</v>
      </c>
      <c r="F2194">
        <v>4923</v>
      </c>
      <c r="G2194" t="s">
        <v>732</v>
      </c>
      <c r="H2194" t="s">
        <v>16</v>
      </c>
      <c r="I2194" t="s">
        <v>570</v>
      </c>
      <c r="J2194" t="s">
        <v>571</v>
      </c>
      <c r="K2194" t="s">
        <v>1809</v>
      </c>
      <c r="L2194" t="str">
        <f>HYPERLINK("https://business-monitor.ch/de/companies/717521-thermofit-gebaeudetechnik-gmbh?utm_source=oberaargau","PROFIL ANSEHEN")</f>
        <v>PROFIL ANSEHEN</v>
      </c>
    </row>
    <row r="2195" spans="1:12" x14ac:dyDescent="0.2">
      <c r="A2195" t="s">
        <v>11689</v>
      </c>
      <c r="B2195" t="s">
        <v>11690</v>
      </c>
      <c r="C2195" t="s">
        <v>202</v>
      </c>
      <c r="E2195" t="s">
        <v>11691</v>
      </c>
      <c r="F2195">
        <v>4900</v>
      </c>
      <c r="G2195" t="s">
        <v>41</v>
      </c>
      <c r="H2195" t="s">
        <v>16</v>
      </c>
      <c r="I2195" t="s">
        <v>733</v>
      </c>
      <c r="J2195" t="s">
        <v>734</v>
      </c>
      <c r="K2195" t="s">
        <v>1809</v>
      </c>
      <c r="L2195" t="str">
        <f>HYPERLINK("https://business-monitor.ch/de/companies/1154848-reber-auto-haendler-gmbh?utm_source=oberaargau","PROFIL ANSEHEN")</f>
        <v>PROFIL ANSEHEN</v>
      </c>
    </row>
    <row r="2196" spans="1:12" x14ac:dyDescent="0.2">
      <c r="A2196" t="s">
        <v>3655</v>
      </c>
      <c r="B2196" t="s">
        <v>3656</v>
      </c>
      <c r="C2196" t="s">
        <v>13</v>
      </c>
      <c r="E2196" t="s">
        <v>3657</v>
      </c>
      <c r="F2196">
        <v>4950</v>
      </c>
      <c r="G2196" t="s">
        <v>15</v>
      </c>
      <c r="H2196" t="s">
        <v>16</v>
      </c>
      <c r="I2196" t="s">
        <v>764</v>
      </c>
      <c r="J2196" t="s">
        <v>765</v>
      </c>
      <c r="K2196" t="s">
        <v>1809</v>
      </c>
      <c r="L2196" t="str">
        <f>HYPERLINK("https://business-monitor.ch/de/companies/60002-ip-industrial-projects-s-a?utm_source=oberaargau","PROFIL ANSEHEN")</f>
        <v>PROFIL ANSEHEN</v>
      </c>
    </row>
    <row r="2197" spans="1:12" x14ac:dyDescent="0.2">
      <c r="A2197" t="s">
        <v>5747</v>
      </c>
      <c r="B2197" t="s">
        <v>5748</v>
      </c>
      <c r="C2197" t="s">
        <v>1812</v>
      </c>
      <c r="E2197" t="s">
        <v>2133</v>
      </c>
      <c r="F2197">
        <v>4952</v>
      </c>
      <c r="G2197" t="s">
        <v>474</v>
      </c>
      <c r="H2197" t="s">
        <v>16</v>
      </c>
      <c r="I2197" t="s">
        <v>134</v>
      </c>
      <c r="J2197" t="s">
        <v>135</v>
      </c>
      <c r="K2197" t="s">
        <v>1809</v>
      </c>
      <c r="L2197" t="str">
        <f>HYPERLINK("https://business-monitor.ch/de/companies/522885-montagebau-kulpinski?utm_source=oberaargau","PROFIL ANSEHEN")</f>
        <v>PROFIL ANSEHEN</v>
      </c>
    </row>
    <row r="2198" spans="1:12" x14ac:dyDescent="0.2">
      <c r="A2198" t="s">
        <v>11751</v>
      </c>
      <c r="B2198" t="s">
        <v>11752</v>
      </c>
      <c r="C2198" t="s">
        <v>1812</v>
      </c>
      <c r="E2198" t="s">
        <v>11753</v>
      </c>
      <c r="F2198">
        <v>3360</v>
      </c>
      <c r="G2198" t="s">
        <v>35</v>
      </c>
      <c r="H2198" t="s">
        <v>16</v>
      </c>
      <c r="I2198" t="s">
        <v>928</v>
      </c>
      <c r="J2198" t="s">
        <v>929</v>
      </c>
      <c r="K2198" t="s">
        <v>1809</v>
      </c>
      <c r="L2198" t="str">
        <f>HYPERLINK("https://business-monitor.ch/de/companies/1154947-partygriller-ch-markus-schaer?utm_source=oberaargau","PROFIL ANSEHEN")</f>
        <v>PROFIL ANSEHEN</v>
      </c>
    </row>
    <row r="2199" spans="1:12" x14ac:dyDescent="0.2">
      <c r="A2199" t="s">
        <v>13629</v>
      </c>
      <c r="B2199" t="s">
        <v>13630</v>
      </c>
      <c r="C2199" t="s">
        <v>1812</v>
      </c>
      <c r="E2199" t="s">
        <v>705</v>
      </c>
      <c r="F2199">
        <v>4900</v>
      </c>
      <c r="G2199" t="s">
        <v>41</v>
      </c>
      <c r="H2199" t="s">
        <v>16</v>
      </c>
      <c r="I2199" t="s">
        <v>1485</v>
      </c>
      <c r="J2199" t="s">
        <v>1486</v>
      </c>
      <c r="K2199" t="s">
        <v>1809</v>
      </c>
      <c r="L2199" t="str">
        <f>HYPERLINK("https://business-monitor.ch/de/companies/1261457-abc-bodytransformation-roos?utm_source=oberaargau","PROFIL ANSEHEN")</f>
        <v>PROFIL ANSEHEN</v>
      </c>
    </row>
    <row r="2200" spans="1:12" x14ac:dyDescent="0.2">
      <c r="A2200" t="s">
        <v>13682</v>
      </c>
      <c r="B2200" t="s">
        <v>13683</v>
      </c>
      <c r="C2200" t="s">
        <v>1812</v>
      </c>
      <c r="E2200" t="s">
        <v>13684</v>
      </c>
      <c r="F2200">
        <v>4704</v>
      </c>
      <c r="G2200" t="s">
        <v>221</v>
      </c>
      <c r="H2200" t="s">
        <v>16</v>
      </c>
      <c r="I2200" t="s">
        <v>175</v>
      </c>
      <c r="J2200" t="s">
        <v>176</v>
      </c>
      <c r="K2200" t="s">
        <v>1809</v>
      </c>
      <c r="L2200" t="str">
        <f>HYPERLINK("https://business-monitor.ch/de/companies/992910-rs-beschriftungen-r-salvati?utm_source=oberaargau","PROFIL ANSEHEN")</f>
        <v>PROFIL ANSEHEN</v>
      </c>
    </row>
    <row r="2201" spans="1:12" x14ac:dyDescent="0.2">
      <c r="A2201" t="s">
        <v>3507</v>
      </c>
      <c r="B2201" t="s">
        <v>3508</v>
      </c>
      <c r="C2201" t="s">
        <v>13</v>
      </c>
      <c r="E2201" t="s">
        <v>3509</v>
      </c>
      <c r="F2201">
        <v>4950</v>
      </c>
      <c r="G2201" t="s">
        <v>15</v>
      </c>
      <c r="H2201" t="s">
        <v>16</v>
      </c>
      <c r="I2201" t="s">
        <v>3510</v>
      </c>
      <c r="J2201" t="s">
        <v>3511</v>
      </c>
      <c r="K2201" t="s">
        <v>1809</v>
      </c>
      <c r="L2201" t="str">
        <f>HYPERLINK("https://business-monitor.ch/de/companies/158328-blatter-imhof-ag?utm_source=oberaargau","PROFIL ANSEHEN")</f>
        <v>PROFIL ANSEHEN</v>
      </c>
    </row>
    <row r="2202" spans="1:12" x14ac:dyDescent="0.2">
      <c r="A2202" t="s">
        <v>8921</v>
      </c>
      <c r="B2202" t="s">
        <v>8922</v>
      </c>
      <c r="C2202" t="s">
        <v>84</v>
      </c>
      <c r="E2202" t="s">
        <v>8923</v>
      </c>
      <c r="F2202">
        <v>4704</v>
      </c>
      <c r="G2202" t="s">
        <v>221</v>
      </c>
      <c r="H2202" t="s">
        <v>16</v>
      </c>
      <c r="I2202" t="s">
        <v>1721</v>
      </c>
      <c r="J2202" t="s">
        <v>1722</v>
      </c>
      <c r="K2202" t="s">
        <v>1809</v>
      </c>
      <c r="L2202" t="str">
        <f>HYPERLINK("https://business-monitor.ch/de/companies/279094-megasol-solartechnik-genossenschaft?utm_source=oberaargau","PROFIL ANSEHEN")</f>
        <v>PROFIL ANSEHEN</v>
      </c>
    </row>
    <row r="2203" spans="1:12" x14ac:dyDescent="0.2">
      <c r="A2203" t="s">
        <v>5178</v>
      </c>
      <c r="B2203" t="s">
        <v>5179</v>
      </c>
      <c r="C2203" t="s">
        <v>1812</v>
      </c>
      <c r="E2203" t="s">
        <v>10807</v>
      </c>
      <c r="F2203">
        <v>4538</v>
      </c>
      <c r="G2203" t="s">
        <v>71</v>
      </c>
      <c r="H2203" t="s">
        <v>16</v>
      </c>
      <c r="I2203" t="s">
        <v>175</v>
      </c>
      <c r="J2203" t="s">
        <v>176</v>
      </c>
      <c r="K2203" t="s">
        <v>1809</v>
      </c>
      <c r="L2203" t="str">
        <f>HYPERLINK("https://business-monitor.ch/de/companies/1092659-automalerei-duppenthaler-inh-guenter-erinmez?utm_source=oberaargau","PROFIL ANSEHEN")</f>
        <v>PROFIL ANSEHEN</v>
      </c>
    </row>
    <row r="2204" spans="1:12" x14ac:dyDescent="0.2">
      <c r="A2204" t="s">
        <v>10444</v>
      </c>
      <c r="B2204" t="s">
        <v>10445</v>
      </c>
      <c r="C2204" t="s">
        <v>1812</v>
      </c>
      <c r="E2204" t="s">
        <v>10446</v>
      </c>
      <c r="F2204">
        <v>4900</v>
      </c>
      <c r="G2204" t="s">
        <v>41</v>
      </c>
      <c r="H2204" t="s">
        <v>16</v>
      </c>
      <c r="I2204" t="s">
        <v>10447</v>
      </c>
      <c r="J2204" t="s">
        <v>10448</v>
      </c>
      <c r="K2204" t="s">
        <v>1809</v>
      </c>
      <c r="L2204" t="str">
        <f>HYPERLINK("https://business-monitor.ch/de/companies/426391-beat-lehmann?utm_source=oberaargau","PROFIL ANSEHEN")</f>
        <v>PROFIL ANSEHEN</v>
      </c>
    </row>
    <row r="2205" spans="1:12" x14ac:dyDescent="0.2">
      <c r="A2205" t="s">
        <v>9932</v>
      </c>
      <c r="B2205" t="s">
        <v>9933</v>
      </c>
      <c r="C2205" t="s">
        <v>1827</v>
      </c>
      <c r="E2205" t="s">
        <v>9934</v>
      </c>
      <c r="F2205">
        <v>4537</v>
      </c>
      <c r="G2205" t="s">
        <v>113</v>
      </c>
      <c r="H2205" t="s">
        <v>16</v>
      </c>
      <c r="I2205" t="s">
        <v>1852</v>
      </c>
      <c r="J2205" t="s">
        <v>1853</v>
      </c>
      <c r="K2205" t="s">
        <v>1809</v>
      </c>
      <c r="L2205" t="str">
        <f>HYPERLINK("https://business-monitor.ch/de/companies/954542-albatros-klg?utm_source=oberaargau","PROFIL ANSEHEN")</f>
        <v>PROFIL ANSEHEN</v>
      </c>
    </row>
    <row r="2206" spans="1:12" x14ac:dyDescent="0.2">
      <c r="A2206" t="s">
        <v>4386</v>
      </c>
      <c r="B2206" t="s">
        <v>4387</v>
      </c>
      <c r="C2206" t="s">
        <v>1812</v>
      </c>
      <c r="E2206" t="s">
        <v>4388</v>
      </c>
      <c r="F2206">
        <v>4900</v>
      </c>
      <c r="G2206" t="s">
        <v>41</v>
      </c>
      <c r="H2206" t="s">
        <v>16</v>
      </c>
      <c r="I2206" t="s">
        <v>1835</v>
      </c>
      <c r="J2206" t="s">
        <v>1836</v>
      </c>
      <c r="K2206" t="s">
        <v>1809</v>
      </c>
      <c r="L2206" t="str">
        <f>HYPERLINK("https://business-monitor.ch/de/companies/948413-reinigungen-ziberi?utm_source=oberaargau","PROFIL ANSEHEN")</f>
        <v>PROFIL ANSEHEN</v>
      </c>
    </row>
    <row r="2207" spans="1:12" x14ac:dyDescent="0.2">
      <c r="A2207" t="s">
        <v>9306</v>
      </c>
      <c r="B2207" t="s">
        <v>9307</v>
      </c>
      <c r="C2207" t="s">
        <v>13</v>
      </c>
      <c r="E2207" t="s">
        <v>1426</v>
      </c>
      <c r="F2207">
        <v>4912</v>
      </c>
      <c r="G2207" t="s">
        <v>64</v>
      </c>
      <c r="H2207" t="s">
        <v>16</v>
      </c>
      <c r="I2207" t="s">
        <v>2587</v>
      </c>
      <c r="J2207" t="s">
        <v>2588</v>
      </c>
      <c r="K2207" t="s">
        <v>1809</v>
      </c>
      <c r="L2207" t="str">
        <f>HYPERLINK("https://business-monitor.ch/de/companies/97073-asag-bilder-und-fotorahmen-ag?utm_source=oberaargau","PROFIL ANSEHEN")</f>
        <v>PROFIL ANSEHEN</v>
      </c>
    </row>
    <row r="2208" spans="1:12" x14ac:dyDescent="0.2">
      <c r="A2208" t="s">
        <v>6407</v>
      </c>
      <c r="B2208" t="s">
        <v>6408</v>
      </c>
      <c r="C2208" t="s">
        <v>13</v>
      </c>
      <c r="E2208" t="s">
        <v>501</v>
      </c>
      <c r="F2208">
        <v>4900</v>
      </c>
      <c r="G2208" t="s">
        <v>41</v>
      </c>
      <c r="H2208" t="s">
        <v>16</v>
      </c>
      <c r="I2208" t="s">
        <v>153</v>
      </c>
      <c r="J2208" t="s">
        <v>154</v>
      </c>
      <c r="K2208" t="s">
        <v>1809</v>
      </c>
      <c r="L2208" t="str">
        <f>HYPERLINK("https://business-monitor.ch/de/companies/289489-42technology-ag?utm_source=oberaargau","PROFIL ANSEHEN")</f>
        <v>PROFIL ANSEHEN</v>
      </c>
    </row>
    <row r="2209" spans="1:12" x14ac:dyDescent="0.2">
      <c r="A2209" t="s">
        <v>13568</v>
      </c>
      <c r="B2209" t="s">
        <v>13569</v>
      </c>
      <c r="C2209" t="s">
        <v>202</v>
      </c>
      <c r="E2209" t="s">
        <v>10402</v>
      </c>
      <c r="F2209">
        <v>4900</v>
      </c>
      <c r="G2209" t="s">
        <v>41</v>
      </c>
      <c r="H2209" t="s">
        <v>16</v>
      </c>
      <c r="I2209" t="s">
        <v>1324</v>
      </c>
      <c r="J2209" t="s">
        <v>1325</v>
      </c>
      <c r="K2209" t="s">
        <v>1809</v>
      </c>
      <c r="L2209" t="str">
        <f>HYPERLINK("https://business-monitor.ch/de/companies/1267338-acd-max-gmbh?utm_source=oberaargau","PROFIL ANSEHEN")</f>
        <v>PROFIL ANSEHEN</v>
      </c>
    </row>
    <row r="2210" spans="1:12" x14ac:dyDescent="0.2">
      <c r="A2210" t="s">
        <v>9488</v>
      </c>
      <c r="B2210" t="s">
        <v>9489</v>
      </c>
      <c r="C2210" t="s">
        <v>2178</v>
      </c>
      <c r="E2210" t="s">
        <v>9490</v>
      </c>
      <c r="F2210">
        <v>4537</v>
      </c>
      <c r="G2210" t="s">
        <v>113</v>
      </c>
      <c r="H2210" t="s">
        <v>16</v>
      </c>
      <c r="I2210" t="s">
        <v>4171</v>
      </c>
      <c r="J2210" t="s">
        <v>4172</v>
      </c>
      <c r="K2210" t="s">
        <v>1809</v>
      </c>
      <c r="L2210" t="str">
        <f>HYPERLINK("https://business-monitor.ch/de/companies/963705-up-ag?utm_source=oberaargau","PROFIL ANSEHEN")</f>
        <v>PROFIL ANSEHEN</v>
      </c>
    </row>
    <row r="2211" spans="1:12" x14ac:dyDescent="0.2">
      <c r="A2211" t="s">
        <v>2435</v>
      </c>
      <c r="B2211" t="s">
        <v>2436</v>
      </c>
      <c r="C2211" t="s">
        <v>1827</v>
      </c>
      <c r="E2211" t="s">
        <v>2437</v>
      </c>
      <c r="F2211">
        <v>4922</v>
      </c>
      <c r="G2211" t="s">
        <v>99</v>
      </c>
      <c r="H2211" t="s">
        <v>16</v>
      </c>
      <c r="I2211" t="s">
        <v>2438</v>
      </c>
      <c r="J2211" t="s">
        <v>2439</v>
      </c>
      <c r="K2211" t="s">
        <v>1809</v>
      </c>
      <c r="L2211" t="str">
        <f>HYPERLINK("https://business-monitor.ch/de/companies/676727-winkelmann-klg?utm_source=oberaargau","PROFIL ANSEHEN")</f>
        <v>PROFIL ANSEHEN</v>
      </c>
    </row>
    <row r="2212" spans="1:12" x14ac:dyDescent="0.2">
      <c r="A2212" t="s">
        <v>3632</v>
      </c>
      <c r="B2212" t="s">
        <v>3633</v>
      </c>
      <c r="C2212" t="s">
        <v>13</v>
      </c>
      <c r="E2212" t="s">
        <v>3634</v>
      </c>
      <c r="F2212">
        <v>4704</v>
      </c>
      <c r="G2212" t="s">
        <v>221</v>
      </c>
      <c r="H2212" t="s">
        <v>16</v>
      </c>
      <c r="I2212" t="s">
        <v>642</v>
      </c>
      <c r="J2212" t="s">
        <v>643</v>
      </c>
      <c r="K2212" t="s">
        <v>1809</v>
      </c>
      <c r="L2212" t="str">
        <f>HYPERLINK("https://business-monitor.ch/de/companies/70297-frei-ag-niederbipp?utm_source=oberaargau","PROFIL ANSEHEN")</f>
        <v>PROFIL ANSEHEN</v>
      </c>
    </row>
    <row r="2213" spans="1:12" x14ac:dyDescent="0.2">
      <c r="A2213" t="s">
        <v>8576</v>
      </c>
      <c r="B2213" t="s">
        <v>8577</v>
      </c>
      <c r="C2213" t="s">
        <v>1812</v>
      </c>
      <c r="E2213" t="s">
        <v>8578</v>
      </c>
      <c r="F2213">
        <v>4933</v>
      </c>
      <c r="G2213" t="s">
        <v>3812</v>
      </c>
      <c r="H2213" t="s">
        <v>16</v>
      </c>
      <c r="I2213" t="s">
        <v>1267</v>
      </c>
      <c r="J2213" t="s">
        <v>1268</v>
      </c>
      <c r="K2213" t="s">
        <v>1809</v>
      </c>
      <c r="L2213" t="str">
        <f>HYPERLINK("https://business-monitor.ch/de/companies/403444-hellwig-gastro-highlight?utm_source=oberaargau","PROFIL ANSEHEN")</f>
        <v>PROFIL ANSEHEN</v>
      </c>
    </row>
    <row r="2214" spans="1:12" x14ac:dyDescent="0.2">
      <c r="A2214" t="s">
        <v>4279</v>
      </c>
      <c r="B2214" t="s">
        <v>4280</v>
      </c>
      <c r="C2214" t="s">
        <v>13</v>
      </c>
      <c r="E2214" t="s">
        <v>4281</v>
      </c>
      <c r="F2214">
        <v>4704</v>
      </c>
      <c r="G2214" t="s">
        <v>221</v>
      </c>
      <c r="H2214" t="s">
        <v>16</v>
      </c>
      <c r="I2214" t="s">
        <v>157</v>
      </c>
      <c r="J2214" t="s">
        <v>158</v>
      </c>
      <c r="K2214" t="s">
        <v>1809</v>
      </c>
      <c r="L2214" t="str">
        <f>HYPERLINK("https://business-monitor.ch/de/companies/977932-ndk-immobilien-ag?utm_source=oberaargau","PROFIL ANSEHEN")</f>
        <v>PROFIL ANSEHEN</v>
      </c>
    </row>
    <row r="2215" spans="1:12" x14ac:dyDescent="0.2">
      <c r="A2215" t="s">
        <v>6233</v>
      </c>
      <c r="B2215" t="s">
        <v>6234</v>
      </c>
      <c r="C2215" t="s">
        <v>202</v>
      </c>
      <c r="D2215" t="s">
        <v>6235</v>
      </c>
      <c r="E2215" t="s">
        <v>6236</v>
      </c>
      <c r="F2215">
        <v>3368</v>
      </c>
      <c r="G2215" t="s">
        <v>308</v>
      </c>
      <c r="H2215" t="s">
        <v>16</v>
      </c>
      <c r="I2215" t="s">
        <v>2522</v>
      </c>
      <c r="J2215" t="s">
        <v>2523</v>
      </c>
      <c r="K2215" t="s">
        <v>1809</v>
      </c>
      <c r="L2215" t="str">
        <f>HYPERLINK("https://business-monitor.ch/de/companies/358419-gu-handels-gmbh?utm_source=oberaargau","PROFIL ANSEHEN")</f>
        <v>PROFIL ANSEHEN</v>
      </c>
    </row>
    <row r="2216" spans="1:12" x14ac:dyDescent="0.2">
      <c r="A2216" t="s">
        <v>13359</v>
      </c>
      <c r="B2216" t="s">
        <v>13360</v>
      </c>
      <c r="C2216" t="s">
        <v>202</v>
      </c>
      <c r="E2216" t="s">
        <v>4546</v>
      </c>
      <c r="F2216">
        <v>4912</v>
      </c>
      <c r="G2216" t="s">
        <v>64</v>
      </c>
      <c r="H2216" t="s">
        <v>16</v>
      </c>
      <c r="I2216" t="s">
        <v>1683</v>
      </c>
      <c r="J2216" t="s">
        <v>1684</v>
      </c>
      <c r="K2216" t="s">
        <v>1809</v>
      </c>
      <c r="L2216" t="str">
        <f>HYPERLINK("https://business-monitor.ch/de/companies/1222281-denner-partner-oberaargau-gmbh?utm_source=oberaargau","PROFIL ANSEHEN")</f>
        <v>PROFIL ANSEHEN</v>
      </c>
    </row>
    <row r="2217" spans="1:12" x14ac:dyDescent="0.2">
      <c r="A2217" t="s">
        <v>12889</v>
      </c>
      <c r="B2217" t="s">
        <v>12890</v>
      </c>
      <c r="C2217" t="s">
        <v>202</v>
      </c>
      <c r="E2217" t="s">
        <v>573</v>
      </c>
      <c r="F2217">
        <v>4912</v>
      </c>
      <c r="G2217" t="s">
        <v>64</v>
      </c>
      <c r="H2217" t="s">
        <v>16</v>
      </c>
      <c r="I2217" t="s">
        <v>2249</v>
      </c>
      <c r="J2217" t="s">
        <v>2250</v>
      </c>
      <c r="K2217" t="s">
        <v>1809</v>
      </c>
      <c r="L2217" t="str">
        <f>HYPERLINK("https://business-monitor.ch/de/companies/1222577-hsw-solartechnik-gmbh?utm_source=oberaargau","PROFIL ANSEHEN")</f>
        <v>PROFIL ANSEHEN</v>
      </c>
    </row>
    <row r="2218" spans="1:12" x14ac:dyDescent="0.2">
      <c r="A2218" t="s">
        <v>3328</v>
      </c>
      <c r="B2218" t="s">
        <v>3329</v>
      </c>
      <c r="C2218" t="s">
        <v>13</v>
      </c>
      <c r="E2218" t="s">
        <v>959</v>
      </c>
      <c r="F2218">
        <v>4537</v>
      </c>
      <c r="G2218" t="s">
        <v>113</v>
      </c>
      <c r="H2218" t="s">
        <v>16</v>
      </c>
      <c r="I2218" t="s">
        <v>551</v>
      </c>
      <c r="J2218" t="s">
        <v>552</v>
      </c>
      <c r="K2218" t="s">
        <v>1809</v>
      </c>
      <c r="L2218" t="str">
        <f>HYPERLINK("https://business-monitor.ch/de/companies/226107-aget-kommunikation-ag?utm_source=oberaargau","PROFIL ANSEHEN")</f>
        <v>PROFIL ANSEHEN</v>
      </c>
    </row>
    <row r="2219" spans="1:12" x14ac:dyDescent="0.2">
      <c r="A2219" t="s">
        <v>6354</v>
      </c>
      <c r="B2219" t="s">
        <v>6355</v>
      </c>
      <c r="C2219" t="s">
        <v>202</v>
      </c>
      <c r="E2219" t="s">
        <v>2369</v>
      </c>
      <c r="F2219">
        <v>4938</v>
      </c>
      <c r="G2219" t="s">
        <v>618</v>
      </c>
      <c r="H2219" t="s">
        <v>16</v>
      </c>
      <c r="I2219" t="s">
        <v>134</v>
      </c>
      <c r="J2219" t="s">
        <v>135</v>
      </c>
      <c r="K2219" t="s">
        <v>1809</v>
      </c>
      <c r="L2219" t="str">
        <f>HYPERLINK("https://business-monitor.ch/de/companies/313975-elektro-wuethrich-flueckiger-gmbh?utm_source=oberaargau","PROFIL ANSEHEN")</f>
        <v>PROFIL ANSEHEN</v>
      </c>
    </row>
    <row r="2220" spans="1:12" x14ac:dyDescent="0.2">
      <c r="A2220" t="s">
        <v>4353</v>
      </c>
      <c r="B2220" t="s">
        <v>4354</v>
      </c>
      <c r="C2220" t="s">
        <v>202</v>
      </c>
      <c r="E2220" t="s">
        <v>4355</v>
      </c>
      <c r="F2220">
        <v>4914</v>
      </c>
      <c r="G2220" t="s">
        <v>105</v>
      </c>
      <c r="H2220" t="s">
        <v>16</v>
      </c>
      <c r="I2220" t="s">
        <v>642</v>
      </c>
      <c r="J2220" t="s">
        <v>643</v>
      </c>
      <c r="K2220" t="s">
        <v>1809</v>
      </c>
      <c r="L2220" t="str">
        <f>HYPERLINK("https://business-monitor.ch/de/companies/958929-auto-service-hard-gmbh?utm_source=oberaargau","PROFIL ANSEHEN")</f>
        <v>PROFIL ANSEHEN</v>
      </c>
    </row>
    <row r="2221" spans="1:12" x14ac:dyDescent="0.2">
      <c r="A2221" t="s">
        <v>13796</v>
      </c>
      <c r="B2221" t="s">
        <v>13797</v>
      </c>
      <c r="C2221" t="s">
        <v>202</v>
      </c>
      <c r="E2221" t="s">
        <v>13633</v>
      </c>
      <c r="F2221">
        <v>4704</v>
      </c>
      <c r="G2221" t="s">
        <v>221</v>
      </c>
      <c r="H2221" t="s">
        <v>16</v>
      </c>
      <c r="I2221" t="s">
        <v>4105</v>
      </c>
      <c r="J2221" t="s">
        <v>4106</v>
      </c>
      <c r="K2221" t="s">
        <v>1809</v>
      </c>
      <c r="L2221" t="str">
        <f>HYPERLINK("https://business-monitor.ch/de/companies/235581-notfalltraining-schweiz-nts-gmbh?utm_source=oberaargau","PROFIL ANSEHEN")</f>
        <v>PROFIL ANSEHEN</v>
      </c>
    </row>
    <row r="2222" spans="1:12" x14ac:dyDescent="0.2">
      <c r="A2222" t="s">
        <v>5571</v>
      </c>
      <c r="B2222" t="s">
        <v>5572</v>
      </c>
      <c r="C2222" t="s">
        <v>13</v>
      </c>
      <c r="E2222" t="s">
        <v>2607</v>
      </c>
      <c r="F2222">
        <v>4914</v>
      </c>
      <c r="G2222" t="s">
        <v>105</v>
      </c>
      <c r="H2222" t="s">
        <v>16</v>
      </c>
      <c r="I2222" t="s">
        <v>2496</v>
      </c>
      <c r="J2222" t="s">
        <v>2497</v>
      </c>
      <c r="K2222" t="s">
        <v>1809</v>
      </c>
      <c r="L2222" t="str">
        <f>HYPERLINK("https://business-monitor.ch/de/companies/99933-frutig-ag?utm_source=oberaargau","PROFIL ANSEHEN")</f>
        <v>PROFIL ANSEHEN</v>
      </c>
    </row>
    <row r="2223" spans="1:12" x14ac:dyDescent="0.2">
      <c r="A2223" t="s">
        <v>4441</v>
      </c>
      <c r="B2223" t="s">
        <v>4442</v>
      </c>
      <c r="C2223" t="s">
        <v>202</v>
      </c>
      <c r="E2223" t="s">
        <v>4443</v>
      </c>
      <c r="F2223">
        <v>4938</v>
      </c>
      <c r="G2223" t="s">
        <v>618</v>
      </c>
      <c r="H2223" t="s">
        <v>16</v>
      </c>
      <c r="I2223" t="s">
        <v>3864</v>
      </c>
      <c r="J2223" t="s">
        <v>3865</v>
      </c>
      <c r="K2223" t="s">
        <v>1809</v>
      </c>
      <c r="L2223" t="str">
        <f>HYPERLINK("https://business-monitor.ch/de/companies/924074-christa-minder-fotografie-gmbh?utm_source=oberaargau","PROFIL ANSEHEN")</f>
        <v>PROFIL ANSEHEN</v>
      </c>
    </row>
    <row r="2224" spans="1:12" x14ac:dyDescent="0.2">
      <c r="A2224" t="s">
        <v>13203</v>
      </c>
      <c r="B2224" t="s">
        <v>13204</v>
      </c>
      <c r="C2224" t="s">
        <v>13</v>
      </c>
      <c r="E2224" t="s">
        <v>13205</v>
      </c>
      <c r="F2224">
        <v>4932</v>
      </c>
      <c r="G2224" t="s">
        <v>2036</v>
      </c>
      <c r="H2224" t="s">
        <v>16</v>
      </c>
      <c r="I2224" t="s">
        <v>507</v>
      </c>
      <c r="J2224" t="s">
        <v>508</v>
      </c>
      <c r="K2224" t="s">
        <v>1809</v>
      </c>
      <c r="L2224" t="str">
        <f>HYPERLINK("https://business-monitor.ch/de/companies/1232167-biometzg-ag?utm_source=oberaargau","PROFIL ANSEHEN")</f>
        <v>PROFIL ANSEHEN</v>
      </c>
    </row>
    <row r="2225" spans="1:12" x14ac:dyDescent="0.2">
      <c r="A2225" t="s">
        <v>10965</v>
      </c>
      <c r="B2225" t="s">
        <v>11039</v>
      </c>
      <c r="C2225" t="s">
        <v>202</v>
      </c>
      <c r="E2225" t="s">
        <v>12507</v>
      </c>
      <c r="F2225">
        <v>4922</v>
      </c>
      <c r="G2225" t="s">
        <v>99</v>
      </c>
      <c r="H2225" t="s">
        <v>16</v>
      </c>
      <c r="I2225" t="s">
        <v>91</v>
      </c>
      <c r="J2225" t="s">
        <v>92</v>
      </c>
      <c r="K2225" t="s">
        <v>1809</v>
      </c>
      <c r="L2225" t="str">
        <f>HYPERLINK("https://business-monitor.ch/de/companies/1104425-jothislogistik-gmbh?utm_source=oberaargau","PROFIL ANSEHEN")</f>
        <v>PROFIL ANSEHEN</v>
      </c>
    </row>
    <row r="2226" spans="1:12" x14ac:dyDescent="0.2">
      <c r="A2226" t="s">
        <v>14119</v>
      </c>
      <c r="B2226" t="s">
        <v>14120</v>
      </c>
      <c r="C2226" t="s">
        <v>1812</v>
      </c>
      <c r="E2226" t="s">
        <v>14121</v>
      </c>
      <c r="F2226">
        <v>4900</v>
      </c>
      <c r="G2226" t="s">
        <v>41</v>
      </c>
      <c r="H2226" t="s">
        <v>16</v>
      </c>
      <c r="I2226" t="s">
        <v>2231</v>
      </c>
      <c r="J2226" t="s">
        <v>2232</v>
      </c>
      <c r="K2226" t="s">
        <v>1809</v>
      </c>
      <c r="L2226" t="str">
        <f>HYPERLINK("https://business-monitor.ch/de/companies/1233271-fit-malerei-mujic?utm_source=oberaargau","PROFIL ANSEHEN")</f>
        <v>PROFIL ANSEHEN</v>
      </c>
    </row>
    <row r="2227" spans="1:12" x14ac:dyDescent="0.2">
      <c r="A2227" t="s">
        <v>4468</v>
      </c>
      <c r="B2227" t="s">
        <v>4469</v>
      </c>
      <c r="C2227" t="s">
        <v>202</v>
      </c>
      <c r="D2227" t="s">
        <v>4470</v>
      </c>
      <c r="E2227" t="s">
        <v>4471</v>
      </c>
      <c r="F2227">
        <v>4900</v>
      </c>
      <c r="G2227" t="s">
        <v>41</v>
      </c>
      <c r="H2227" t="s">
        <v>16</v>
      </c>
      <c r="I2227" t="s">
        <v>2706</v>
      </c>
      <c r="J2227" t="s">
        <v>2707</v>
      </c>
      <c r="K2227" t="s">
        <v>1809</v>
      </c>
      <c r="L2227" t="str">
        <f>HYPERLINK("https://business-monitor.ch/de/companies/720847-klangwerk-mittelland-gmbh?utm_source=oberaargau","PROFIL ANSEHEN")</f>
        <v>PROFIL ANSEHEN</v>
      </c>
    </row>
    <row r="2228" spans="1:12" x14ac:dyDescent="0.2">
      <c r="A2228" t="s">
        <v>5458</v>
      </c>
      <c r="B2228" t="s">
        <v>5459</v>
      </c>
      <c r="C2228" t="s">
        <v>13</v>
      </c>
      <c r="E2228" t="s">
        <v>5460</v>
      </c>
      <c r="F2228">
        <v>4912</v>
      </c>
      <c r="G2228" t="s">
        <v>64</v>
      </c>
      <c r="H2228" t="s">
        <v>16</v>
      </c>
      <c r="I2228" t="s">
        <v>2555</v>
      </c>
      <c r="J2228" t="s">
        <v>2556</v>
      </c>
      <c r="K2228" t="s">
        <v>1809</v>
      </c>
      <c r="L2228" t="str">
        <f>HYPERLINK("https://business-monitor.ch/de/companies/203380-zwahlen-radio-foto-ag?utm_source=oberaargau","PROFIL ANSEHEN")</f>
        <v>PROFIL ANSEHEN</v>
      </c>
    </row>
    <row r="2229" spans="1:12" x14ac:dyDescent="0.2">
      <c r="A2229" t="s">
        <v>14504</v>
      </c>
      <c r="B2229" t="s">
        <v>14505</v>
      </c>
      <c r="C2229" t="s">
        <v>202</v>
      </c>
      <c r="E2229" t="s">
        <v>2210</v>
      </c>
      <c r="F2229">
        <v>4900</v>
      </c>
      <c r="G2229" t="s">
        <v>41</v>
      </c>
      <c r="H2229" t="s">
        <v>16</v>
      </c>
      <c r="I2229" t="s">
        <v>5658</v>
      </c>
      <c r="J2229" t="s">
        <v>5659</v>
      </c>
      <c r="K2229" t="s">
        <v>1809</v>
      </c>
      <c r="L2229" t="str">
        <f>HYPERLINK("https://business-monitor.ch/de/companies/1306714-tharcars-gmbh?utm_source=oberaargau","PROFIL ANSEHEN")</f>
        <v>PROFIL ANSEHEN</v>
      </c>
    </row>
    <row r="2230" spans="1:12" x14ac:dyDescent="0.2">
      <c r="A2230" t="s">
        <v>9165</v>
      </c>
      <c r="B2230" t="s">
        <v>12103</v>
      </c>
      <c r="C2230" t="s">
        <v>202</v>
      </c>
      <c r="E2230" t="s">
        <v>9167</v>
      </c>
      <c r="F2230">
        <v>3365</v>
      </c>
      <c r="G2230" t="s">
        <v>1008</v>
      </c>
      <c r="H2230" t="s">
        <v>16</v>
      </c>
      <c r="I2230" t="s">
        <v>935</v>
      </c>
      <c r="J2230" t="s">
        <v>936</v>
      </c>
      <c r="K2230" t="s">
        <v>1809</v>
      </c>
      <c r="L2230" t="str">
        <f>HYPERLINK("https://business-monitor.ch/de/companies/169672-tm-park-immobilien-gmbh?utm_source=oberaargau","PROFIL ANSEHEN")</f>
        <v>PROFIL ANSEHEN</v>
      </c>
    </row>
    <row r="2231" spans="1:12" x14ac:dyDescent="0.2">
      <c r="A2231" t="s">
        <v>4531</v>
      </c>
      <c r="B2231" t="s">
        <v>4532</v>
      </c>
      <c r="C2231" t="s">
        <v>202</v>
      </c>
      <c r="E2231" t="s">
        <v>4533</v>
      </c>
      <c r="F2231">
        <v>4704</v>
      </c>
      <c r="G2231" t="s">
        <v>221</v>
      </c>
      <c r="H2231" t="s">
        <v>16</v>
      </c>
      <c r="I2231" t="s">
        <v>2347</v>
      </c>
      <c r="J2231" t="s">
        <v>2348</v>
      </c>
      <c r="K2231" t="s">
        <v>1809</v>
      </c>
      <c r="L2231" t="str">
        <f>HYPERLINK("https://business-monitor.ch/de/companies/679946-rippd-gmbh?utm_source=oberaargau","PROFIL ANSEHEN")</f>
        <v>PROFIL ANSEHEN</v>
      </c>
    </row>
    <row r="2232" spans="1:12" x14ac:dyDescent="0.2">
      <c r="A2232" t="s">
        <v>9440</v>
      </c>
      <c r="B2232" t="s">
        <v>9441</v>
      </c>
      <c r="C2232" t="s">
        <v>1812</v>
      </c>
      <c r="F2232">
        <v>4919</v>
      </c>
      <c r="G2232" t="s">
        <v>3489</v>
      </c>
      <c r="H2232" t="s">
        <v>16</v>
      </c>
      <c r="I2232" t="s">
        <v>24</v>
      </c>
      <c r="J2232" t="s">
        <v>25</v>
      </c>
      <c r="K2232" t="s">
        <v>1809</v>
      </c>
      <c r="L2232" t="str">
        <f>HYPERLINK("https://business-monitor.ch/de/companies/9566-kangarootec-greub-alexander?utm_source=oberaargau","PROFIL ANSEHEN")</f>
        <v>PROFIL ANSEHEN</v>
      </c>
    </row>
    <row r="2233" spans="1:12" x14ac:dyDescent="0.2">
      <c r="A2233" t="s">
        <v>10551</v>
      </c>
      <c r="B2233" t="s">
        <v>10552</v>
      </c>
      <c r="C2233" t="s">
        <v>13</v>
      </c>
      <c r="E2233" t="s">
        <v>10553</v>
      </c>
      <c r="F2233">
        <v>4912</v>
      </c>
      <c r="G2233" t="s">
        <v>64</v>
      </c>
      <c r="H2233" t="s">
        <v>16</v>
      </c>
      <c r="I2233" t="s">
        <v>331</v>
      </c>
      <c r="J2233" t="s">
        <v>332</v>
      </c>
      <c r="K2233" t="s">
        <v>1809</v>
      </c>
      <c r="L2233" t="str">
        <f>HYPERLINK("https://business-monitor.ch/de/companies/249233-stomech-ag?utm_source=oberaargau","PROFIL ANSEHEN")</f>
        <v>PROFIL ANSEHEN</v>
      </c>
    </row>
    <row r="2234" spans="1:12" x14ac:dyDescent="0.2">
      <c r="A2234" t="s">
        <v>11247</v>
      </c>
      <c r="B2234" t="s">
        <v>11248</v>
      </c>
      <c r="C2234" t="s">
        <v>202</v>
      </c>
      <c r="D2234" t="s">
        <v>11249</v>
      </c>
      <c r="E2234" t="s">
        <v>11250</v>
      </c>
      <c r="F2234">
        <v>4952</v>
      </c>
      <c r="G2234" t="s">
        <v>474</v>
      </c>
      <c r="H2234" t="s">
        <v>16</v>
      </c>
      <c r="I2234" t="s">
        <v>2365</v>
      </c>
      <c r="J2234" t="s">
        <v>2366</v>
      </c>
      <c r="K2234" t="s">
        <v>1809</v>
      </c>
      <c r="L2234" t="str">
        <f>HYPERLINK("https://business-monitor.ch/de/companies/1127314-brestenegg-alp-gmbh?utm_source=oberaargau","PROFIL ANSEHEN")</f>
        <v>PROFIL ANSEHEN</v>
      </c>
    </row>
    <row r="2235" spans="1:12" x14ac:dyDescent="0.2">
      <c r="A2235" t="s">
        <v>12978</v>
      </c>
      <c r="B2235" t="s">
        <v>12979</v>
      </c>
      <c r="C2235" t="s">
        <v>13</v>
      </c>
      <c r="D2235" t="s">
        <v>12980</v>
      </c>
      <c r="E2235" t="s">
        <v>9181</v>
      </c>
      <c r="F2235">
        <v>3360</v>
      </c>
      <c r="G2235" t="s">
        <v>35</v>
      </c>
      <c r="H2235" t="s">
        <v>16</v>
      </c>
      <c r="I2235" t="s">
        <v>182</v>
      </c>
      <c r="J2235" t="s">
        <v>183</v>
      </c>
      <c r="K2235" t="s">
        <v>1809</v>
      </c>
      <c r="L2235" t="str">
        <f>HYPERLINK("https://business-monitor.ch/de/companies/1238127-vauthey-holding-ag?utm_source=oberaargau","PROFIL ANSEHEN")</f>
        <v>PROFIL ANSEHEN</v>
      </c>
    </row>
    <row r="2236" spans="1:12" x14ac:dyDescent="0.2">
      <c r="A2236" t="s">
        <v>4994</v>
      </c>
      <c r="B2236" t="s">
        <v>4995</v>
      </c>
      <c r="C2236" t="s">
        <v>1812</v>
      </c>
      <c r="E2236" t="s">
        <v>4996</v>
      </c>
      <c r="F2236">
        <v>4912</v>
      </c>
      <c r="G2236" t="s">
        <v>64</v>
      </c>
      <c r="H2236" t="s">
        <v>16</v>
      </c>
      <c r="I2236" t="s">
        <v>824</v>
      </c>
      <c r="J2236" t="s">
        <v>825</v>
      </c>
      <c r="K2236" t="s">
        <v>1809</v>
      </c>
      <c r="L2236" t="str">
        <f>HYPERLINK("https://business-monitor.ch/de/companies/171443-flueck-andreas?utm_source=oberaargau","PROFIL ANSEHEN")</f>
        <v>PROFIL ANSEHEN</v>
      </c>
    </row>
    <row r="2237" spans="1:12" x14ac:dyDescent="0.2">
      <c r="A2237" t="s">
        <v>5319</v>
      </c>
      <c r="B2237" t="s">
        <v>5320</v>
      </c>
      <c r="C2237" t="s">
        <v>1812</v>
      </c>
      <c r="E2237" t="s">
        <v>5321</v>
      </c>
      <c r="F2237">
        <v>4900</v>
      </c>
      <c r="G2237" t="s">
        <v>41</v>
      </c>
      <c r="H2237" t="s">
        <v>16</v>
      </c>
      <c r="I2237" t="s">
        <v>551</v>
      </c>
      <c r="J2237" t="s">
        <v>552</v>
      </c>
      <c r="K2237" t="s">
        <v>1809</v>
      </c>
      <c r="L2237" t="str">
        <f>HYPERLINK("https://business-monitor.ch/de/companies/414103-michael-blanck-consulting?utm_source=oberaargau","PROFIL ANSEHEN")</f>
        <v>PROFIL ANSEHEN</v>
      </c>
    </row>
    <row r="2238" spans="1:12" x14ac:dyDescent="0.2">
      <c r="A2238" t="s">
        <v>6948</v>
      </c>
      <c r="B2238" t="s">
        <v>6949</v>
      </c>
      <c r="C2238" t="s">
        <v>202</v>
      </c>
      <c r="E2238" t="s">
        <v>4599</v>
      </c>
      <c r="F2238">
        <v>4923</v>
      </c>
      <c r="G2238" t="s">
        <v>732</v>
      </c>
      <c r="H2238" t="s">
        <v>16</v>
      </c>
      <c r="I2238" t="s">
        <v>232</v>
      </c>
      <c r="J2238" t="s">
        <v>233</v>
      </c>
      <c r="K2238" t="s">
        <v>1809</v>
      </c>
      <c r="L2238" t="str">
        <f>HYPERLINK("https://business-monitor.ch/de/companies/2482-ps-steuern-und-recht-gmbh-wynau?utm_source=oberaargau","PROFIL ANSEHEN")</f>
        <v>PROFIL ANSEHEN</v>
      </c>
    </row>
    <row r="2239" spans="1:12" x14ac:dyDescent="0.2">
      <c r="A2239" t="s">
        <v>6156</v>
      </c>
      <c r="B2239" t="s">
        <v>6157</v>
      </c>
      <c r="C2239" t="s">
        <v>202</v>
      </c>
      <c r="E2239" t="s">
        <v>2693</v>
      </c>
      <c r="F2239">
        <v>4900</v>
      </c>
      <c r="G2239" t="s">
        <v>41</v>
      </c>
      <c r="H2239" t="s">
        <v>16</v>
      </c>
      <c r="I2239" t="s">
        <v>1841</v>
      </c>
      <c r="J2239" t="s">
        <v>1842</v>
      </c>
      <c r="K2239" t="s">
        <v>1809</v>
      </c>
      <c r="L2239" t="str">
        <f>HYPERLINK("https://business-monitor.ch/de/companies/392995-ping-an-gmbh?utm_source=oberaargau","PROFIL ANSEHEN")</f>
        <v>PROFIL ANSEHEN</v>
      </c>
    </row>
    <row r="2240" spans="1:12" x14ac:dyDescent="0.2">
      <c r="A2240" t="s">
        <v>14099</v>
      </c>
      <c r="B2240" t="s">
        <v>14100</v>
      </c>
      <c r="C2240" t="s">
        <v>202</v>
      </c>
      <c r="E2240" t="s">
        <v>8492</v>
      </c>
      <c r="F2240">
        <v>4950</v>
      </c>
      <c r="G2240" t="s">
        <v>15</v>
      </c>
      <c r="H2240" t="s">
        <v>16</v>
      </c>
      <c r="I2240" t="s">
        <v>679</v>
      </c>
      <c r="J2240" t="s">
        <v>680</v>
      </c>
      <c r="K2240" t="s">
        <v>1809</v>
      </c>
      <c r="L2240" t="str">
        <f>HYPERLINK("https://business-monitor.ch/de/companies/513276-marti-s-gmbh?utm_source=oberaargau","PROFIL ANSEHEN")</f>
        <v>PROFIL ANSEHEN</v>
      </c>
    </row>
    <row r="2241" spans="1:12" x14ac:dyDescent="0.2">
      <c r="A2241" t="s">
        <v>11389</v>
      </c>
      <c r="B2241" t="s">
        <v>11390</v>
      </c>
      <c r="C2241" t="s">
        <v>202</v>
      </c>
      <c r="E2241" t="s">
        <v>8486</v>
      </c>
      <c r="F2241">
        <v>4950</v>
      </c>
      <c r="G2241" t="s">
        <v>15</v>
      </c>
      <c r="H2241" t="s">
        <v>16</v>
      </c>
      <c r="I2241" t="s">
        <v>3982</v>
      </c>
      <c r="J2241" t="s">
        <v>3983</v>
      </c>
      <c r="K2241" t="s">
        <v>1809</v>
      </c>
      <c r="L2241" t="str">
        <f>HYPERLINK("https://business-monitor.ch/de/companies/1131635-juchoose-gmbh?utm_source=oberaargau","PROFIL ANSEHEN")</f>
        <v>PROFIL ANSEHEN</v>
      </c>
    </row>
    <row r="2242" spans="1:12" x14ac:dyDescent="0.2">
      <c r="A2242" t="s">
        <v>12990</v>
      </c>
      <c r="B2242" t="s">
        <v>12991</v>
      </c>
      <c r="C2242" t="s">
        <v>1812</v>
      </c>
      <c r="E2242" t="s">
        <v>12992</v>
      </c>
      <c r="F2242">
        <v>3360</v>
      </c>
      <c r="G2242" t="s">
        <v>35</v>
      </c>
      <c r="H2242" t="s">
        <v>16</v>
      </c>
      <c r="I2242" t="s">
        <v>866</v>
      </c>
      <c r="J2242" t="s">
        <v>867</v>
      </c>
      <c r="K2242" t="s">
        <v>1809</v>
      </c>
      <c r="L2242" t="str">
        <f>HYPERLINK("https://business-monitor.ch/de/companies/1240508-aouimri-alte-pneu-entsorgung?utm_source=oberaargau","PROFIL ANSEHEN")</f>
        <v>PROFIL ANSEHEN</v>
      </c>
    </row>
    <row r="2243" spans="1:12" x14ac:dyDescent="0.2">
      <c r="A2243" t="s">
        <v>6213</v>
      </c>
      <c r="B2243" t="s">
        <v>6214</v>
      </c>
      <c r="C2243" t="s">
        <v>202</v>
      </c>
      <c r="E2243" t="s">
        <v>6215</v>
      </c>
      <c r="F2243">
        <v>4922</v>
      </c>
      <c r="G2243" t="s">
        <v>99</v>
      </c>
      <c r="H2243" t="s">
        <v>16</v>
      </c>
      <c r="I2243" t="s">
        <v>2067</v>
      </c>
      <c r="J2243" t="s">
        <v>2068</v>
      </c>
      <c r="K2243" t="s">
        <v>1809</v>
      </c>
      <c r="L2243" t="str">
        <f>HYPERLINK("https://business-monitor.ch/de/companies/368661-maurerteam-gmbh?utm_source=oberaargau","PROFIL ANSEHEN")</f>
        <v>PROFIL ANSEHEN</v>
      </c>
    </row>
    <row r="2244" spans="1:12" x14ac:dyDescent="0.2">
      <c r="A2244" t="s">
        <v>4292</v>
      </c>
      <c r="B2244" t="s">
        <v>4293</v>
      </c>
      <c r="C2244" t="s">
        <v>1812</v>
      </c>
      <c r="E2244" t="s">
        <v>4294</v>
      </c>
      <c r="F2244">
        <v>4917</v>
      </c>
      <c r="G2244" t="s">
        <v>376</v>
      </c>
      <c r="H2244" t="s">
        <v>16</v>
      </c>
      <c r="I2244" t="s">
        <v>2534</v>
      </c>
      <c r="J2244" t="s">
        <v>2535</v>
      </c>
      <c r="K2244" t="s">
        <v>1809</v>
      </c>
      <c r="L2244" t="str">
        <f>HYPERLINK("https://business-monitor.ch/de/companies/976001-asia-truly-asia-widanaralalage?utm_source=oberaargau","PROFIL ANSEHEN")</f>
        <v>PROFIL ANSEHEN</v>
      </c>
    </row>
    <row r="2245" spans="1:12" x14ac:dyDescent="0.2">
      <c r="A2245" t="s">
        <v>4287</v>
      </c>
      <c r="B2245" t="s">
        <v>4288</v>
      </c>
      <c r="C2245" t="s">
        <v>1812</v>
      </c>
      <c r="E2245" t="s">
        <v>4289</v>
      </c>
      <c r="F2245">
        <v>4537</v>
      </c>
      <c r="G2245" t="s">
        <v>113</v>
      </c>
      <c r="H2245" t="s">
        <v>16</v>
      </c>
      <c r="I2245" t="s">
        <v>464</v>
      </c>
      <c r="J2245" t="s">
        <v>465</v>
      </c>
      <c r="K2245" t="s">
        <v>1809</v>
      </c>
      <c r="L2245" t="str">
        <f>HYPERLINK("https://business-monitor.ch/de/companies/976720-kopp-trans-transporte-und-ueberfuehrungen?utm_source=oberaargau","PROFIL ANSEHEN")</f>
        <v>PROFIL ANSEHEN</v>
      </c>
    </row>
    <row r="2246" spans="1:12" x14ac:dyDescent="0.2">
      <c r="A2246" t="s">
        <v>2755</v>
      </c>
      <c r="B2246" t="s">
        <v>2756</v>
      </c>
      <c r="C2246" t="s">
        <v>13</v>
      </c>
      <c r="E2246" t="s">
        <v>2757</v>
      </c>
      <c r="F2246">
        <v>4936</v>
      </c>
      <c r="G2246" t="s">
        <v>768</v>
      </c>
      <c r="H2246" t="s">
        <v>16</v>
      </c>
      <c r="I2246" t="s">
        <v>542</v>
      </c>
      <c r="J2246" t="s">
        <v>543</v>
      </c>
      <c r="K2246" t="s">
        <v>1809</v>
      </c>
      <c r="L2246" t="str">
        <f>HYPERLINK("https://business-monitor.ch/de/companies/446546-samuel-kaufmann-ag?utm_source=oberaargau","PROFIL ANSEHEN")</f>
        <v>PROFIL ANSEHEN</v>
      </c>
    </row>
    <row r="2247" spans="1:12" x14ac:dyDescent="0.2">
      <c r="A2247" t="s">
        <v>2598</v>
      </c>
      <c r="B2247" t="s">
        <v>2599</v>
      </c>
      <c r="C2247" t="s">
        <v>202</v>
      </c>
      <c r="E2247" t="s">
        <v>2600</v>
      </c>
      <c r="F2247">
        <v>4537</v>
      </c>
      <c r="G2247" t="s">
        <v>113</v>
      </c>
      <c r="H2247" t="s">
        <v>16</v>
      </c>
      <c r="I2247" t="s">
        <v>1062</v>
      </c>
      <c r="J2247" t="s">
        <v>1063</v>
      </c>
      <c r="K2247" t="s">
        <v>1809</v>
      </c>
      <c r="L2247" t="str">
        <f>HYPERLINK("https://business-monitor.ch/de/companies/503061-r-kalt-gmbh?utm_source=oberaargau","PROFIL ANSEHEN")</f>
        <v>PROFIL ANSEHEN</v>
      </c>
    </row>
    <row r="2248" spans="1:12" x14ac:dyDescent="0.2">
      <c r="A2248" t="s">
        <v>10540</v>
      </c>
      <c r="B2248" t="s">
        <v>12293</v>
      </c>
      <c r="C2248" t="s">
        <v>13</v>
      </c>
      <c r="E2248" t="s">
        <v>12223</v>
      </c>
      <c r="F2248">
        <v>4950</v>
      </c>
      <c r="G2248" t="s">
        <v>15</v>
      </c>
      <c r="H2248" t="s">
        <v>16</v>
      </c>
      <c r="I2248" t="s">
        <v>72</v>
      </c>
      <c r="J2248" t="s">
        <v>73</v>
      </c>
      <c r="K2248" t="s">
        <v>1809</v>
      </c>
      <c r="L2248" t="str">
        <f>HYPERLINK("https://business-monitor.ch/de/companies/1088371-espace-health-wellbeing-ag?utm_source=oberaargau","PROFIL ANSEHEN")</f>
        <v>PROFIL ANSEHEN</v>
      </c>
    </row>
    <row r="2249" spans="1:12" x14ac:dyDescent="0.2">
      <c r="A2249" t="s">
        <v>9856</v>
      </c>
      <c r="B2249" t="s">
        <v>13144</v>
      </c>
      <c r="C2249" t="s">
        <v>13</v>
      </c>
      <c r="E2249" t="s">
        <v>1295</v>
      </c>
      <c r="F2249">
        <v>4912</v>
      </c>
      <c r="G2249" t="s">
        <v>64</v>
      </c>
      <c r="H2249" t="s">
        <v>16</v>
      </c>
      <c r="I2249" t="s">
        <v>182</v>
      </c>
      <c r="J2249" t="s">
        <v>183</v>
      </c>
      <c r="K2249" t="s">
        <v>1809</v>
      </c>
      <c r="L2249" t="str">
        <f>HYPERLINK("https://business-monitor.ch/de/companies/989507-pan-coaching-ag?utm_source=oberaargau","PROFIL ANSEHEN")</f>
        <v>PROFIL ANSEHEN</v>
      </c>
    </row>
    <row r="2250" spans="1:12" x14ac:dyDescent="0.2">
      <c r="A2250" t="s">
        <v>13292</v>
      </c>
      <c r="B2250" t="s">
        <v>13293</v>
      </c>
      <c r="C2250" t="s">
        <v>1812</v>
      </c>
      <c r="E2250" t="s">
        <v>13294</v>
      </c>
      <c r="F2250">
        <v>4900</v>
      </c>
      <c r="G2250" t="s">
        <v>41</v>
      </c>
      <c r="H2250" t="s">
        <v>16</v>
      </c>
      <c r="I2250" t="s">
        <v>642</v>
      </c>
      <c r="J2250" t="s">
        <v>643</v>
      </c>
      <c r="K2250" t="s">
        <v>1809</v>
      </c>
      <c r="L2250" t="str">
        <f>HYPERLINK("https://business-monitor.ch/de/companies/1245551-hashemi-motors?utm_source=oberaargau","PROFIL ANSEHEN")</f>
        <v>PROFIL ANSEHEN</v>
      </c>
    </row>
    <row r="2251" spans="1:12" x14ac:dyDescent="0.2">
      <c r="A2251" t="s">
        <v>13838</v>
      </c>
      <c r="B2251" t="s">
        <v>13839</v>
      </c>
      <c r="C2251" t="s">
        <v>1812</v>
      </c>
      <c r="E2251" t="s">
        <v>11465</v>
      </c>
      <c r="F2251">
        <v>3373</v>
      </c>
      <c r="G2251" t="s">
        <v>2429</v>
      </c>
      <c r="H2251" t="s">
        <v>16</v>
      </c>
      <c r="I2251" t="s">
        <v>2825</v>
      </c>
      <c r="J2251" t="s">
        <v>2826</v>
      </c>
      <c r="K2251" t="s">
        <v>1809</v>
      </c>
      <c r="L2251" t="str">
        <f>HYPERLINK("https://business-monitor.ch/de/companies/1276993-studio-la-koa-rohrbach-grolimund?utm_source=oberaargau","PROFIL ANSEHEN")</f>
        <v>PROFIL ANSEHEN</v>
      </c>
    </row>
    <row r="2252" spans="1:12" x14ac:dyDescent="0.2">
      <c r="A2252" t="s">
        <v>6879</v>
      </c>
      <c r="B2252" t="s">
        <v>12948</v>
      </c>
      <c r="C2252" t="s">
        <v>13</v>
      </c>
      <c r="D2252" t="s">
        <v>2484</v>
      </c>
      <c r="E2252" t="s">
        <v>166</v>
      </c>
      <c r="F2252">
        <v>4900</v>
      </c>
      <c r="G2252" t="s">
        <v>41</v>
      </c>
      <c r="H2252" t="s">
        <v>16</v>
      </c>
      <c r="I2252" t="s">
        <v>906</v>
      </c>
      <c r="J2252" t="s">
        <v>907</v>
      </c>
      <c r="K2252" t="s">
        <v>1809</v>
      </c>
      <c r="L2252" t="str">
        <f>HYPERLINK("https://business-monitor.ch/de/companies/26521-solit-energie-ag?utm_source=oberaargau","PROFIL ANSEHEN")</f>
        <v>PROFIL ANSEHEN</v>
      </c>
    </row>
    <row r="2253" spans="1:12" x14ac:dyDescent="0.2">
      <c r="A2253" t="s">
        <v>8033</v>
      </c>
      <c r="B2253" t="s">
        <v>8034</v>
      </c>
      <c r="C2253" t="s">
        <v>202</v>
      </c>
      <c r="E2253" t="s">
        <v>8035</v>
      </c>
      <c r="F2253">
        <v>4950</v>
      </c>
      <c r="G2253" t="s">
        <v>15</v>
      </c>
      <c r="H2253" t="s">
        <v>16</v>
      </c>
      <c r="I2253" t="s">
        <v>8036</v>
      </c>
      <c r="J2253" t="s">
        <v>8037</v>
      </c>
      <c r="K2253" t="s">
        <v>1809</v>
      </c>
      <c r="L2253" t="str">
        <f>HYPERLINK("https://business-monitor.ch/de/companies/351719-graberleder-gmbh?utm_source=oberaargau","PROFIL ANSEHEN")</f>
        <v>PROFIL ANSEHEN</v>
      </c>
    </row>
    <row r="2254" spans="1:12" x14ac:dyDescent="0.2">
      <c r="A2254" t="s">
        <v>11286</v>
      </c>
      <c r="B2254" t="s">
        <v>11287</v>
      </c>
      <c r="C2254" t="s">
        <v>202</v>
      </c>
      <c r="E2254" t="s">
        <v>10920</v>
      </c>
      <c r="F2254">
        <v>4934</v>
      </c>
      <c r="G2254" t="s">
        <v>670</v>
      </c>
      <c r="H2254" t="s">
        <v>16</v>
      </c>
      <c r="I2254" t="s">
        <v>3253</v>
      </c>
      <c r="J2254" t="s">
        <v>3254</v>
      </c>
      <c r="K2254" t="s">
        <v>1809</v>
      </c>
      <c r="L2254" t="str">
        <f>HYPERLINK("https://business-monitor.ch/de/companies/1130718-metzgerei-beugger-gmbh?utm_source=oberaargau","PROFIL ANSEHEN")</f>
        <v>PROFIL ANSEHEN</v>
      </c>
    </row>
    <row r="2255" spans="1:12" x14ac:dyDescent="0.2">
      <c r="A2255" t="s">
        <v>4066</v>
      </c>
      <c r="B2255" t="s">
        <v>4067</v>
      </c>
      <c r="C2255" t="s">
        <v>202</v>
      </c>
      <c r="E2255" t="s">
        <v>1929</v>
      </c>
      <c r="F2255">
        <v>4914</v>
      </c>
      <c r="G2255" t="s">
        <v>105</v>
      </c>
      <c r="H2255" t="s">
        <v>16</v>
      </c>
      <c r="I2255" t="s">
        <v>824</v>
      </c>
      <c r="J2255" t="s">
        <v>825</v>
      </c>
      <c r="K2255" t="s">
        <v>1809</v>
      </c>
      <c r="L2255" t="str">
        <f>HYPERLINK("https://business-monitor.ch/de/companies/1049928-dogis-gmbh?utm_source=oberaargau","PROFIL ANSEHEN")</f>
        <v>PROFIL ANSEHEN</v>
      </c>
    </row>
    <row r="2256" spans="1:12" x14ac:dyDescent="0.2">
      <c r="A2256" t="s">
        <v>6911</v>
      </c>
      <c r="B2256" t="s">
        <v>6912</v>
      </c>
      <c r="C2256" t="s">
        <v>84</v>
      </c>
      <c r="D2256" t="s">
        <v>6913</v>
      </c>
      <c r="E2256" t="s">
        <v>6914</v>
      </c>
      <c r="F2256">
        <v>3380</v>
      </c>
      <c r="G2256" t="s">
        <v>29</v>
      </c>
      <c r="H2256" t="s">
        <v>16</v>
      </c>
      <c r="I2256" t="s">
        <v>906</v>
      </c>
      <c r="J2256" t="s">
        <v>907</v>
      </c>
      <c r="K2256" t="s">
        <v>1809</v>
      </c>
      <c r="L2256" t="str">
        <f>HYPERLINK("https://business-monitor.ch/de/companies/19298-wohnbaugenossenschaft-bundespersonal-wangen-an-der-aare?utm_source=oberaargau","PROFIL ANSEHEN")</f>
        <v>PROFIL ANSEHEN</v>
      </c>
    </row>
    <row r="2257" spans="1:12" x14ac:dyDescent="0.2">
      <c r="A2257" t="s">
        <v>8959</v>
      </c>
      <c r="B2257" t="s">
        <v>8960</v>
      </c>
      <c r="C2257" t="s">
        <v>1922</v>
      </c>
      <c r="D2257" t="s">
        <v>1816</v>
      </c>
      <c r="E2257" t="s">
        <v>129</v>
      </c>
      <c r="F2257">
        <v>4900</v>
      </c>
      <c r="G2257" t="s">
        <v>41</v>
      </c>
      <c r="H2257" t="s">
        <v>16</v>
      </c>
      <c r="I2257" t="s">
        <v>1924</v>
      </c>
      <c r="J2257" t="s">
        <v>1925</v>
      </c>
      <c r="K2257" t="s">
        <v>1809</v>
      </c>
      <c r="L2257" t="str">
        <f>HYPERLINK("https://business-monitor.ch/de/companies/257497-lantal-foundation-for-cultural-and-sustainable-education?utm_source=oberaargau","PROFIL ANSEHEN")</f>
        <v>PROFIL ANSEHEN</v>
      </c>
    </row>
    <row r="2258" spans="1:12" x14ac:dyDescent="0.2">
      <c r="A2258" t="s">
        <v>7113</v>
      </c>
      <c r="B2258" t="s">
        <v>7114</v>
      </c>
      <c r="C2258" t="s">
        <v>202</v>
      </c>
      <c r="E2258" t="s">
        <v>5406</v>
      </c>
      <c r="F2258">
        <v>3360</v>
      </c>
      <c r="G2258" t="s">
        <v>35</v>
      </c>
      <c r="H2258" t="s">
        <v>16</v>
      </c>
      <c r="I2258" t="s">
        <v>824</v>
      </c>
      <c r="J2258" t="s">
        <v>825</v>
      </c>
      <c r="K2258" t="s">
        <v>1809</v>
      </c>
      <c r="L2258" t="str">
        <f>HYPERLINK("https://business-monitor.ch/de/companies/1009157-reto-mathys-gmbh?utm_source=oberaargau","PROFIL ANSEHEN")</f>
        <v>PROFIL ANSEHEN</v>
      </c>
    </row>
    <row r="2259" spans="1:12" x14ac:dyDescent="0.2">
      <c r="A2259" t="s">
        <v>13439</v>
      </c>
      <c r="B2259" t="s">
        <v>13440</v>
      </c>
      <c r="C2259" t="s">
        <v>1812</v>
      </c>
      <c r="E2259" t="s">
        <v>13441</v>
      </c>
      <c r="F2259">
        <v>4537</v>
      </c>
      <c r="G2259" t="s">
        <v>113</v>
      </c>
      <c r="H2259" t="s">
        <v>16</v>
      </c>
      <c r="I2259" t="s">
        <v>1017</v>
      </c>
      <c r="J2259" t="s">
        <v>1018</v>
      </c>
      <c r="K2259" t="s">
        <v>1809</v>
      </c>
      <c r="L2259" t="str">
        <f>HYPERLINK("https://business-monitor.ch/de/companies/1247643-crazaar-inhaberin-amstad-lea?utm_source=oberaargau","PROFIL ANSEHEN")</f>
        <v>PROFIL ANSEHEN</v>
      </c>
    </row>
    <row r="2260" spans="1:12" x14ac:dyDescent="0.2">
      <c r="A2260" t="s">
        <v>12744</v>
      </c>
      <c r="B2260" t="s">
        <v>12745</v>
      </c>
      <c r="C2260" t="s">
        <v>13</v>
      </c>
      <c r="D2260" t="s">
        <v>12746</v>
      </c>
      <c r="E2260" t="s">
        <v>1365</v>
      </c>
      <c r="F2260">
        <v>4923</v>
      </c>
      <c r="G2260" t="s">
        <v>732</v>
      </c>
      <c r="H2260" t="s">
        <v>16</v>
      </c>
      <c r="I2260" t="s">
        <v>935</v>
      </c>
      <c r="J2260" t="s">
        <v>936</v>
      </c>
      <c r="K2260" t="s">
        <v>1809</v>
      </c>
      <c r="L2260" t="str">
        <f>HYPERLINK("https://business-monitor.ch/de/companies/1223961-rena-immo-ag?utm_source=oberaargau","PROFIL ANSEHEN")</f>
        <v>PROFIL ANSEHEN</v>
      </c>
    </row>
    <row r="2261" spans="1:12" x14ac:dyDescent="0.2">
      <c r="A2261" t="s">
        <v>13377</v>
      </c>
      <c r="B2261" t="s">
        <v>13378</v>
      </c>
      <c r="C2261" t="s">
        <v>1812</v>
      </c>
      <c r="E2261" t="s">
        <v>13297</v>
      </c>
      <c r="F2261">
        <v>4917</v>
      </c>
      <c r="G2261" t="s">
        <v>376</v>
      </c>
      <c r="H2261" t="s">
        <v>16</v>
      </c>
      <c r="I2261" t="s">
        <v>2748</v>
      </c>
      <c r="J2261" t="s">
        <v>2749</v>
      </c>
      <c r="K2261" t="s">
        <v>1809</v>
      </c>
      <c r="L2261" t="str">
        <f>HYPERLINK("https://business-monitor.ch/de/companies/1250725-paintbox-tattoo-wyttenbach?utm_source=oberaargau","PROFIL ANSEHEN")</f>
        <v>PROFIL ANSEHEN</v>
      </c>
    </row>
    <row r="2262" spans="1:12" x14ac:dyDescent="0.2">
      <c r="A2262" t="s">
        <v>13443</v>
      </c>
      <c r="B2262" t="s">
        <v>13444</v>
      </c>
      <c r="C2262" t="s">
        <v>202</v>
      </c>
      <c r="E2262" t="s">
        <v>13445</v>
      </c>
      <c r="F2262">
        <v>4912</v>
      </c>
      <c r="G2262" t="s">
        <v>64</v>
      </c>
      <c r="H2262" t="s">
        <v>16</v>
      </c>
      <c r="I2262" t="s">
        <v>1936</v>
      </c>
      <c r="J2262" t="s">
        <v>1937</v>
      </c>
      <c r="K2262" t="s">
        <v>1809</v>
      </c>
      <c r="L2262" t="str">
        <f>HYPERLINK("https://business-monitor.ch/de/companies/634005-black-pike-favorites-gmbh?utm_source=oberaargau","PROFIL ANSEHEN")</f>
        <v>PROFIL ANSEHEN</v>
      </c>
    </row>
    <row r="2263" spans="1:12" x14ac:dyDescent="0.2">
      <c r="A2263" t="s">
        <v>13309</v>
      </c>
      <c r="B2263" t="s">
        <v>13310</v>
      </c>
      <c r="C2263" t="s">
        <v>1812</v>
      </c>
      <c r="E2263" t="s">
        <v>13311</v>
      </c>
      <c r="F2263">
        <v>4932</v>
      </c>
      <c r="G2263" t="s">
        <v>325</v>
      </c>
      <c r="H2263" t="s">
        <v>16</v>
      </c>
      <c r="I2263" t="s">
        <v>3850</v>
      </c>
      <c r="J2263" t="s">
        <v>3851</v>
      </c>
      <c r="K2263" t="s">
        <v>1809</v>
      </c>
      <c r="L2263" t="str">
        <f>HYPERLINK("https://business-monitor.ch/de/companies/1252704-mamfy-by-patrizia-figueroa-rodriguez?utm_source=oberaargau","PROFIL ANSEHEN")</f>
        <v>PROFIL ANSEHEN</v>
      </c>
    </row>
    <row r="2264" spans="1:12" x14ac:dyDescent="0.2">
      <c r="A2264" t="s">
        <v>4776</v>
      </c>
      <c r="B2264" t="s">
        <v>4777</v>
      </c>
      <c r="C2264" t="s">
        <v>13</v>
      </c>
      <c r="D2264" t="s">
        <v>4778</v>
      </c>
      <c r="E2264" t="s">
        <v>4779</v>
      </c>
      <c r="F2264">
        <v>4937</v>
      </c>
      <c r="G2264" t="s">
        <v>951</v>
      </c>
      <c r="H2264" t="s">
        <v>16</v>
      </c>
      <c r="I2264" t="s">
        <v>72</v>
      </c>
      <c r="J2264" t="s">
        <v>73</v>
      </c>
      <c r="K2264" t="s">
        <v>1809</v>
      </c>
      <c r="L2264" t="str">
        <f>HYPERLINK("https://business-monitor.ch/de/companies/565893-pegra-group-ag?utm_source=oberaargau","PROFIL ANSEHEN")</f>
        <v>PROFIL ANSEHEN</v>
      </c>
    </row>
    <row r="2265" spans="1:12" x14ac:dyDescent="0.2">
      <c r="A2265" t="s">
        <v>5023</v>
      </c>
      <c r="B2265" t="s">
        <v>5024</v>
      </c>
      <c r="C2265" t="s">
        <v>202</v>
      </c>
      <c r="E2265" t="s">
        <v>5025</v>
      </c>
      <c r="F2265">
        <v>4912</v>
      </c>
      <c r="G2265" t="s">
        <v>64</v>
      </c>
      <c r="H2265" t="s">
        <v>16</v>
      </c>
      <c r="I2265" t="s">
        <v>824</v>
      </c>
      <c r="J2265" t="s">
        <v>825</v>
      </c>
      <c r="K2265" t="s">
        <v>1809</v>
      </c>
      <c r="L2265" t="str">
        <f>HYPERLINK("https://business-monitor.ch/de/companies/1029356-zilan-gmbh?utm_source=oberaargau","PROFIL ANSEHEN")</f>
        <v>PROFIL ANSEHEN</v>
      </c>
    </row>
    <row r="2266" spans="1:12" x14ac:dyDescent="0.2">
      <c r="A2266" t="s">
        <v>7115</v>
      </c>
      <c r="B2266" t="s">
        <v>7116</v>
      </c>
      <c r="C2266" t="s">
        <v>202</v>
      </c>
      <c r="E2266" t="s">
        <v>4811</v>
      </c>
      <c r="F2266">
        <v>4900</v>
      </c>
      <c r="G2266" t="s">
        <v>41</v>
      </c>
      <c r="H2266" t="s">
        <v>16</v>
      </c>
      <c r="I2266" t="s">
        <v>182</v>
      </c>
      <c r="J2266" t="s">
        <v>183</v>
      </c>
      <c r="K2266" t="s">
        <v>1809</v>
      </c>
      <c r="L2266" t="str">
        <f>HYPERLINK("https://business-monitor.ch/de/companies/1001444-leer-holding-gmbh?utm_source=oberaargau","PROFIL ANSEHEN")</f>
        <v>PROFIL ANSEHEN</v>
      </c>
    </row>
    <row r="2267" spans="1:12" x14ac:dyDescent="0.2">
      <c r="A2267" t="s">
        <v>13058</v>
      </c>
      <c r="B2267" t="s">
        <v>660</v>
      </c>
      <c r="C2267" t="s">
        <v>13</v>
      </c>
      <c r="E2267" t="s">
        <v>661</v>
      </c>
      <c r="F2267">
        <v>4900</v>
      </c>
      <c r="G2267" t="s">
        <v>41</v>
      </c>
      <c r="H2267" t="s">
        <v>16</v>
      </c>
      <c r="I2267" t="s">
        <v>662</v>
      </c>
      <c r="J2267" t="s">
        <v>663</v>
      </c>
      <c r="K2267" t="s">
        <v>1809</v>
      </c>
      <c r="L2267" t="str">
        <f>HYPERLINK("https://business-monitor.ch/de/companies/1240022-franz-flueckiger-ag?utm_source=oberaargau","PROFIL ANSEHEN")</f>
        <v>PROFIL ANSEHEN</v>
      </c>
    </row>
    <row r="2268" spans="1:12" x14ac:dyDescent="0.2">
      <c r="A2268" t="s">
        <v>6572</v>
      </c>
      <c r="B2268" t="s">
        <v>6573</v>
      </c>
      <c r="C2268" t="s">
        <v>202</v>
      </c>
      <c r="E2268" t="s">
        <v>1070</v>
      </c>
      <c r="F2268">
        <v>4900</v>
      </c>
      <c r="G2268" t="s">
        <v>41</v>
      </c>
      <c r="H2268" t="s">
        <v>16</v>
      </c>
      <c r="I2268" t="s">
        <v>182</v>
      </c>
      <c r="J2268" t="s">
        <v>183</v>
      </c>
      <c r="K2268" t="s">
        <v>1809</v>
      </c>
      <c r="L2268" t="str">
        <f>HYPERLINK("https://business-monitor.ch/de/companies/1060221-amstutz-scheidegger-holding-gmbh?utm_source=oberaargau","PROFIL ANSEHEN")</f>
        <v>PROFIL ANSEHEN</v>
      </c>
    </row>
    <row r="2269" spans="1:12" x14ac:dyDescent="0.2">
      <c r="A2269" t="s">
        <v>8592</v>
      </c>
      <c r="B2269" t="s">
        <v>8593</v>
      </c>
      <c r="C2269" t="s">
        <v>202</v>
      </c>
      <c r="E2269" t="s">
        <v>8594</v>
      </c>
      <c r="F2269">
        <v>4537</v>
      </c>
      <c r="G2269" t="s">
        <v>113</v>
      </c>
      <c r="H2269" t="s">
        <v>16</v>
      </c>
      <c r="I2269" t="s">
        <v>1324</v>
      </c>
      <c r="J2269" t="s">
        <v>1325</v>
      </c>
      <c r="K2269" t="s">
        <v>1809</v>
      </c>
      <c r="L2269" t="str">
        <f>HYPERLINK("https://business-monitor.ch/de/companies/474515-zemp-montagen-gmbh?utm_source=oberaargau","PROFIL ANSEHEN")</f>
        <v>PROFIL ANSEHEN</v>
      </c>
    </row>
    <row r="2270" spans="1:12" x14ac:dyDescent="0.2">
      <c r="A2270" t="s">
        <v>3341</v>
      </c>
      <c r="B2270" t="s">
        <v>3342</v>
      </c>
      <c r="C2270" t="s">
        <v>202</v>
      </c>
      <c r="E2270" t="s">
        <v>3343</v>
      </c>
      <c r="F2270">
        <v>4900</v>
      </c>
      <c r="G2270" t="s">
        <v>41</v>
      </c>
      <c r="H2270" t="s">
        <v>16</v>
      </c>
      <c r="I2270" t="s">
        <v>3344</v>
      </c>
      <c r="J2270" t="s">
        <v>3345</v>
      </c>
      <c r="K2270" t="s">
        <v>1809</v>
      </c>
      <c r="L2270" t="str">
        <f>HYPERLINK("https://business-monitor.ch/de/companies/1059993-butterfly-care-gmbh?utm_source=oberaargau","PROFIL ANSEHEN")</f>
        <v>PROFIL ANSEHEN</v>
      </c>
    </row>
    <row r="2271" spans="1:12" x14ac:dyDescent="0.2">
      <c r="A2271" t="s">
        <v>10678</v>
      </c>
      <c r="B2271" t="s">
        <v>10679</v>
      </c>
      <c r="C2271" t="s">
        <v>202</v>
      </c>
      <c r="E2271" t="s">
        <v>10680</v>
      </c>
      <c r="F2271">
        <v>4900</v>
      </c>
      <c r="G2271" t="s">
        <v>41</v>
      </c>
      <c r="H2271" t="s">
        <v>16</v>
      </c>
      <c r="I2271" t="s">
        <v>1071</v>
      </c>
      <c r="J2271" t="s">
        <v>1072</v>
      </c>
      <c r="K2271" t="s">
        <v>1809</v>
      </c>
      <c r="L2271" t="str">
        <f>HYPERLINK("https://business-monitor.ch/de/companies/1060958-as-auto-moto-sales-gmbh?utm_source=oberaargau","PROFIL ANSEHEN")</f>
        <v>PROFIL ANSEHEN</v>
      </c>
    </row>
    <row r="2272" spans="1:12" x14ac:dyDescent="0.2">
      <c r="A2272" t="s">
        <v>10621</v>
      </c>
      <c r="B2272" t="s">
        <v>10622</v>
      </c>
      <c r="C2272" t="s">
        <v>1922</v>
      </c>
      <c r="E2272" t="s">
        <v>10623</v>
      </c>
      <c r="F2272">
        <v>4900</v>
      </c>
      <c r="G2272" t="s">
        <v>41</v>
      </c>
      <c r="H2272" t="s">
        <v>16</v>
      </c>
      <c r="I2272" t="s">
        <v>906</v>
      </c>
      <c r="J2272" t="s">
        <v>907</v>
      </c>
      <c r="K2272" t="s">
        <v>1809</v>
      </c>
      <c r="L2272" t="str">
        <f>HYPERLINK("https://business-monitor.ch/de/companies/405484-stiftung-lindenhof-langenthal?utm_source=oberaargau","PROFIL ANSEHEN")</f>
        <v>PROFIL ANSEHEN</v>
      </c>
    </row>
    <row r="2273" spans="1:12" x14ac:dyDescent="0.2">
      <c r="A2273" t="s">
        <v>12400</v>
      </c>
      <c r="B2273" t="s">
        <v>12401</v>
      </c>
      <c r="C2273" t="s">
        <v>13</v>
      </c>
      <c r="E2273" t="s">
        <v>3368</v>
      </c>
      <c r="F2273">
        <v>3360</v>
      </c>
      <c r="G2273" t="s">
        <v>35</v>
      </c>
      <c r="H2273" t="s">
        <v>16</v>
      </c>
      <c r="I2273" t="s">
        <v>2197</v>
      </c>
      <c r="J2273" t="s">
        <v>2198</v>
      </c>
      <c r="K2273" t="s">
        <v>1809</v>
      </c>
      <c r="L2273" t="str">
        <f>HYPERLINK("https://business-monitor.ch/de/companies/1196271-dr-med-dent-marco-rueegg-ag?utm_source=oberaargau","PROFIL ANSEHEN")</f>
        <v>PROFIL ANSEHEN</v>
      </c>
    </row>
    <row r="2274" spans="1:12" x14ac:dyDescent="0.2">
      <c r="A2274" t="s">
        <v>2768</v>
      </c>
      <c r="B2274" t="s">
        <v>2769</v>
      </c>
      <c r="C2274" t="s">
        <v>202</v>
      </c>
      <c r="E2274" t="s">
        <v>2770</v>
      </c>
      <c r="F2274">
        <v>4538</v>
      </c>
      <c r="G2274" t="s">
        <v>71</v>
      </c>
      <c r="H2274" t="s">
        <v>16</v>
      </c>
      <c r="I2274" t="s">
        <v>1535</v>
      </c>
      <c r="J2274" t="s">
        <v>1536</v>
      </c>
      <c r="K2274" t="s">
        <v>1809</v>
      </c>
      <c r="L2274" t="str">
        <f>HYPERLINK("https://business-monitor.ch/de/companies/444035-blumen-uhlmann-gmbh?utm_source=oberaargau","PROFIL ANSEHEN")</f>
        <v>PROFIL ANSEHEN</v>
      </c>
    </row>
    <row r="2275" spans="1:12" x14ac:dyDescent="0.2">
      <c r="A2275" t="s">
        <v>9580</v>
      </c>
      <c r="B2275" t="s">
        <v>9581</v>
      </c>
      <c r="C2275" t="s">
        <v>13</v>
      </c>
      <c r="E2275" t="s">
        <v>8764</v>
      </c>
      <c r="F2275">
        <v>4912</v>
      </c>
      <c r="G2275" t="s">
        <v>64</v>
      </c>
      <c r="H2275" t="s">
        <v>16</v>
      </c>
      <c r="I2275" t="s">
        <v>182</v>
      </c>
      <c r="J2275" t="s">
        <v>183</v>
      </c>
      <c r="K2275" t="s">
        <v>1809</v>
      </c>
      <c r="L2275" t="str">
        <f>HYPERLINK("https://business-monitor.ch/de/companies/1005368-baumberger-holding-ag?utm_source=oberaargau","PROFIL ANSEHEN")</f>
        <v>PROFIL ANSEHEN</v>
      </c>
    </row>
    <row r="2276" spans="1:12" x14ac:dyDescent="0.2">
      <c r="A2276" t="s">
        <v>6126</v>
      </c>
      <c r="B2276" t="s">
        <v>6127</v>
      </c>
      <c r="C2276" t="s">
        <v>202</v>
      </c>
      <c r="E2276" t="s">
        <v>3891</v>
      </c>
      <c r="F2276">
        <v>4913</v>
      </c>
      <c r="G2276" t="s">
        <v>207</v>
      </c>
      <c r="H2276" t="s">
        <v>16</v>
      </c>
      <c r="I2276" t="s">
        <v>2192</v>
      </c>
      <c r="J2276" t="s">
        <v>2193</v>
      </c>
      <c r="K2276" t="s">
        <v>1809</v>
      </c>
      <c r="L2276" t="str">
        <f>HYPERLINK("https://business-monitor.ch/de/companies/1065212-proton-personal-gmbh?utm_source=oberaargau","PROFIL ANSEHEN")</f>
        <v>PROFIL ANSEHEN</v>
      </c>
    </row>
    <row r="2277" spans="1:12" x14ac:dyDescent="0.2">
      <c r="A2277" t="s">
        <v>14155</v>
      </c>
      <c r="B2277" t="s">
        <v>14156</v>
      </c>
      <c r="C2277" t="s">
        <v>13</v>
      </c>
      <c r="E2277" t="s">
        <v>14157</v>
      </c>
      <c r="F2277">
        <v>3380</v>
      </c>
      <c r="G2277" t="s">
        <v>29</v>
      </c>
      <c r="H2277" t="s">
        <v>16</v>
      </c>
      <c r="I2277" t="s">
        <v>157</v>
      </c>
      <c r="J2277" t="s">
        <v>158</v>
      </c>
      <c r="K2277" t="s">
        <v>1809</v>
      </c>
      <c r="L2277" t="str">
        <f>HYPERLINK("https://business-monitor.ch/de/companies/1294368-mae2-immo-ag?utm_source=oberaargau","PROFIL ANSEHEN")</f>
        <v>PROFIL ANSEHEN</v>
      </c>
    </row>
    <row r="2278" spans="1:12" x14ac:dyDescent="0.2">
      <c r="A2278" t="s">
        <v>6945</v>
      </c>
      <c r="B2278" t="s">
        <v>6946</v>
      </c>
      <c r="C2278" t="s">
        <v>2178</v>
      </c>
      <c r="E2278" t="s">
        <v>4310</v>
      </c>
      <c r="F2278">
        <v>4900</v>
      </c>
      <c r="G2278" t="s">
        <v>41</v>
      </c>
      <c r="H2278" t="s">
        <v>16</v>
      </c>
      <c r="I2278" t="s">
        <v>1274</v>
      </c>
      <c r="J2278" t="s">
        <v>1275</v>
      </c>
      <c r="K2278" t="s">
        <v>1809</v>
      </c>
      <c r="L2278" t="str">
        <f>HYPERLINK("https://business-monitor.ch/de/companies/512783-kibag-bauleistungen-ag?utm_source=oberaargau","PROFIL ANSEHEN")</f>
        <v>PROFIL ANSEHEN</v>
      </c>
    </row>
    <row r="2279" spans="1:12" x14ac:dyDescent="0.2">
      <c r="A2279" t="s">
        <v>11590</v>
      </c>
      <c r="B2279" t="s">
        <v>11591</v>
      </c>
      <c r="C2279" t="s">
        <v>202</v>
      </c>
      <c r="E2279" t="s">
        <v>7278</v>
      </c>
      <c r="F2279">
        <v>4950</v>
      </c>
      <c r="G2279" t="s">
        <v>15</v>
      </c>
      <c r="H2279" t="s">
        <v>16</v>
      </c>
      <c r="I2279" t="s">
        <v>940</v>
      </c>
      <c r="J2279" t="s">
        <v>941</v>
      </c>
      <c r="K2279" t="s">
        <v>1809</v>
      </c>
      <c r="L2279" t="str">
        <f>HYPERLINK("https://business-monitor.ch/de/companies/1138001-yorkshire-j-s-beutler-gmbh?utm_source=oberaargau","PROFIL ANSEHEN")</f>
        <v>PROFIL ANSEHEN</v>
      </c>
    </row>
    <row r="2280" spans="1:12" x14ac:dyDescent="0.2">
      <c r="A2280" t="s">
        <v>10352</v>
      </c>
      <c r="B2280" t="s">
        <v>10353</v>
      </c>
      <c r="C2280" t="s">
        <v>202</v>
      </c>
      <c r="E2280" t="s">
        <v>10354</v>
      </c>
      <c r="F2280">
        <v>4922</v>
      </c>
      <c r="G2280" t="s">
        <v>1318</v>
      </c>
      <c r="H2280" t="s">
        <v>16</v>
      </c>
      <c r="I2280" t="s">
        <v>24</v>
      </c>
      <c r="J2280" t="s">
        <v>25</v>
      </c>
      <c r="K2280" t="s">
        <v>1809</v>
      </c>
      <c r="L2280" t="str">
        <f>HYPERLINK("https://business-monitor.ch/de/companies/536937-troesch-informatik-gmbh?utm_source=oberaargau","PROFIL ANSEHEN")</f>
        <v>PROFIL ANSEHEN</v>
      </c>
    </row>
    <row r="2281" spans="1:12" x14ac:dyDescent="0.2">
      <c r="A2281" t="s">
        <v>2551</v>
      </c>
      <c r="B2281" t="s">
        <v>2552</v>
      </c>
      <c r="C2281" t="s">
        <v>13</v>
      </c>
      <c r="D2281" t="s">
        <v>2553</v>
      </c>
      <c r="E2281" t="s">
        <v>2554</v>
      </c>
      <c r="F2281">
        <v>4704</v>
      </c>
      <c r="G2281" t="s">
        <v>221</v>
      </c>
      <c r="H2281" t="s">
        <v>16</v>
      </c>
      <c r="I2281" t="s">
        <v>2555</v>
      </c>
      <c r="J2281" t="s">
        <v>2556</v>
      </c>
      <c r="K2281" t="s">
        <v>1809</v>
      </c>
      <c r="L2281" t="str">
        <f>HYPERLINK("https://business-monitor.ch/de/companies/515260-stereofile-ag?utm_source=oberaargau","PROFIL ANSEHEN")</f>
        <v>PROFIL ANSEHEN</v>
      </c>
    </row>
    <row r="2282" spans="1:12" x14ac:dyDescent="0.2">
      <c r="A2282" t="s">
        <v>6867</v>
      </c>
      <c r="B2282" t="s">
        <v>6868</v>
      </c>
      <c r="C2282" t="s">
        <v>1812</v>
      </c>
      <c r="E2282" t="s">
        <v>6869</v>
      </c>
      <c r="F2282">
        <v>3380</v>
      </c>
      <c r="G2282" t="s">
        <v>29</v>
      </c>
      <c r="H2282" t="s">
        <v>16</v>
      </c>
      <c r="I2282" t="s">
        <v>2587</v>
      </c>
      <c r="J2282" t="s">
        <v>2588</v>
      </c>
      <c r="K2282" t="s">
        <v>1809</v>
      </c>
      <c r="L2282" t="str">
        <f>HYPERLINK("https://business-monitor.ch/de/companies/39383-garomadi-trading-g-furrer?utm_source=oberaargau","PROFIL ANSEHEN")</f>
        <v>PROFIL ANSEHEN</v>
      </c>
    </row>
    <row r="2283" spans="1:12" x14ac:dyDescent="0.2">
      <c r="A2283" t="s">
        <v>14079</v>
      </c>
      <c r="B2283" t="s">
        <v>14080</v>
      </c>
      <c r="C2283" t="s">
        <v>1812</v>
      </c>
      <c r="E2283" t="s">
        <v>13341</v>
      </c>
      <c r="F2283">
        <v>3362</v>
      </c>
      <c r="G2283" t="s">
        <v>47</v>
      </c>
      <c r="H2283" t="s">
        <v>16</v>
      </c>
      <c r="I2283" t="s">
        <v>331</v>
      </c>
      <c r="J2283" t="s">
        <v>332</v>
      </c>
      <c r="K2283" t="s">
        <v>1809</v>
      </c>
      <c r="L2283" t="str">
        <f>HYPERLINK("https://business-monitor.ch/de/companies/1279839-grome-manuel-schmidt?utm_source=oberaargau","PROFIL ANSEHEN")</f>
        <v>PROFIL ANSEHEN</v>
      </c>
    </row>
    <row r="2284" spans="1:12" x14ac:dyDescent="0.2">
      <c r="A2284" t="s">
        <v>8231</v>
      </c>
      <c r="B2284" t="s">
        <v>8232</v>
      </c>
      <c r="C2284" t="s">
        <v>13</v>
      </c>
      <c r="D2284" t="s">
        <v>13765</v>
      </c>
      <c r="E2284" t="s">
        <v>13766</v>
      </c>
      <c r="F2284">
        <v>3360</v>
      </c>
      <c r="G2284" t="s">
        <v>35</v>
      </c>
      <c r="H2284" t="s">
        <v>16</v>
      </c>
      <c r="I2284" t="s">
        <v>1993</v>
      </c>
      <c r="J2284" t="s">
        <v>1994</v>
      </c>
      <c r="K2284" t="s">
        <v>1809</v>
      </c>
      <c r="L2284" t="str">
        <f>HYPERLINK("https://business-monitor.ch/de/companies/49348-tertec-ag?utm_source=oberaargau","PROFIL ANSEHEN")</f>
        <v>PROFIL ANSEHEN</v>
      </c>
    </row>
    <row r="2285" spans="1:12" x14ac:dyDescent="0.2">
      <c r="A2285" t="s">
        <v>7987</v>
      </c>
      <c r="B2285" t="s">
        <v>7988</v>
      </c>
      <c r="C2285" t="s">
        <v>202</v>
      </c>
      <c r="E2285" t="s">
        <v>7989</v>
      </c>
      <c r="F2285">
        <v>4539</v>
      </c>
      <c r="G2285" t="s">
        <v>1134</v>
      </c>
      <c r="H2285" t="s">
        <v>16</v>
      </c>
      <c r="I2285" t="s">
        <v>2665</v>
      </c>
      <c r="J2285" t="s">
        <v>2666</v>
      </c>
      <c r="K2285" t="s">
        <v>1809</v>
      </c>
      <c r="L2285" t="str">
        <f>HYPERLINK("https://business-monitor.ch/de/companies/1087111-prameda-gmbh?utm_source=oberaargau","PROFIL ANSEHEN")</f>
        <v>PROFIL ANSEHEN</v>
      </c>
    </row>
    <row r="2286" spans="1:12" x14ac:dyDescent="0.2">
      <c r="A2286" t="s">
        <v>4198</v>
      </c>
      <c r="B2286" t="s">
        <v>4199</v>
      </c>
      <c r="C2286" t="s">
        <v>202</v>
      </c>
      <c r="E2286" t="s">
        <v>4200</v>
      </c>
      <c r="F2286">
        <v>4952</v>
      </c>
      <c r="G2286" t="s">
        <v>474</v>
      </c>
      <c r="H2286" t="s">
        <v>16</v>
      </c>
      <c r="I2286" t="s">
        <v>824</v>
      </c>
      <c r="J2286" t="s">
        <v>825</v>
      </c>
      <c r="K2286" t="s">
        <v>1809</v>
      </c>
      <c r="L2286" t="str">
        <f>HYPERLINK("https://business-monitor.ch/de/companies/1009875-me-s-gastro-gmbh?utm_source=oberaargau","PROFIL ANSEHEN")</f>
        <v>PROFIL ANSEHEN</v>
      </c>
    </row>
    <row r="2287" spans="1:12" x14ac:dyDescent="0.2">
      <c r="A2287" t="s">
        <v>4419</v>
      </c>
      <c r="B2287" t="s">
        <v>10785</v>
      </c>
      <c r="C2287" t="s">
        <v>5439</v>
      </c>
      <c r="E2287" t="s">
        <v>3745</v>
      </c>
      <c r="F2287">
        <v>4539</v>
      </c>
      <c r="G2287" t="s">
        <v>23</v>
      </c>
      <c r="H2287" t="s">
        <v>16</v>
      </c>
      <c r="I2287" t="s">
        <v>298</v>
      </c>
      <c r="J2287" t="s">
        <v>299</v>
      </c>
      <c r="K2287" t="s">
        <v>1809</v>
      </c>
      <c r="L2287" t="str">
        <f>HYPERLINK("https://business-monitor.ch/de/companies/1100313-die-kraft-der-natur-ltd-stockport-zweigniederlassung-farnern?utm_source=oberaargau","PROFIL ANSEHEN")</f>
        <v>PROFIL ANSEHEN</v>
      </c>
    </row>
    <row r="2288" spans="1:12" x14ac:dyDescent="0.2">
      <c r="A2288" t="s">
        <v>10248</v>
      </c>
      <c r="B2288" t="s">
        <v>10249</v>
      </c>
      <c r="C2288" t="s">
        <v>13</v>
      </c>
      <c r="E2288" t="s">
        <v>6568</v>
      </c>
      <c r="F2288">
        <v>3360</v>
      </c>
      <c r="G2288" t="s">
        <v>35</v>
      </c>
      <c r="H2288" t="s">
        <v>16</v>
      </c>
      <c r="I2288" t="s">
        <v>966</v>
      </c>
      <c r="J2288" t="s">
        <v>967</v>
      </c>
      <c r="K2288" t="s">
        <v>1809</v>
      </c>
      <c r="L2288" t="str">
        <f>HYPERLINK("https://business-monitor.ch/de/companies/596794-danioth-generalbau-ag?utm_source=oberaargau","PROFIL ANSEHEN")</f>
        <v>PROFIL ANSEHEN</v>
      </c>
    </row>
    <row r="2289" spans="1:12" x14ac:dyDescent="0.2">
      <c r="A2289" t="s">
        <v>8223</v>
      </c>
      <c r="B2289" t="s">
        <v>8224</v>
      </c>
      <c r="C2289" t="s">
        <v>1812</v>
      </c>
      <c r="E2289" t="s">
        <v>8225</v>
      </c>
      <c r="F2289">
        <v>4950</v>
      </c>
      <c r="G2289" t="s">
        <v>15</v>
      </c>
      <c r="H2289" t="s">
        <v>16</v>
      </c>
      <c r="I2289" t="s">
        <v>1278</v>
      </c>
      <c r="J2289" t="s">
        <v>1279</v>
      </c>
      <c r="K2289" t="s">
        <v>1809</v>
      </c>
      <c r="L2289" t="str">
        <f>HYPERLINK("https://business-monitor.ch/de/companies/75465-heinz-greub?utm_source=oberaargau","PROFIL ANSEHEN")</f>
        <v>PROFIL ANSEHEN</v>
      </c>
    </row>
    <row r="2290" spans="1:12" x14ac:dyDescent="0.2">
      <c r="A2290" t="s">
        <v>12993</v>
      </c>
      <c r="B2290" t="s">
        <v>12994</v>
      </c>
      <c r="C2290" t="s">
        <v>202</v>
      </c>
      <c r="E2290" t="s">
        <v>12995</v>
      </c>
      <c r="F2290">
        <v>4900</v>
      </c>
      <c r="G2290" t="s">
        <v>41</v>
      </c>
      <c r="H2290" t="s">
        <v>16</v>
      </c>
      <c r="I2290" t="s">
        <v>854</v>
      </c>
      <c r="J2290" t="s">
        <v>855</v>
      </c>
      <c r="K2290" t="s">
        <v>1809</v>
      </c>
      <c r="L2290" t="str">
        <f>HYPERLINK("https://business-monitor.ch/de/companies/1228399-unloqin-gmbh?utm_source=oberaargau","PROFIL ANSEHEN")</f>
        <v>PROFIL ANSEHEN</v>
      </c>
    </row>
    <row r="2291" spans="1:12" x14ac:dyDescent="0.2">
      <c r="A2291" t="s">
        <v>6973</v>
      </c>
      <c r="B2291" t="s">
        <v>6974</v>
      </c>
      <c r="C2291" t="s">
        <v>13</v>
      </c>
      <c r="E2291" t="s">
        <v>14040</v>
      </c>
      <c r="F2291">
        <v>4937</v>
      </c>
      <c r="G2291" t="s">
        <v>951</v>
      </c>
      <c r="H2291" t="s">
        <v>16</v>
      </c>
      <c r="I2291" t="s">
        <v>679</v>
      </c>
      <c r="J2291" t="s">
        <v>680</v>
      </c>
      <c r="K2291" t="s">
        <v>1809</v>
      </c>
      <c r="L2291" t="str">
        <f>HYPERLINK("https://business-monitor.ch/de/companies/593021-w-heiniger-ag?utm_source=oberaargau","PROFIL ANSEHEN")</f>
        <v>PROFIL ANSEHEN</v>
      </c>
    </row>
    <row r="2292" spans="1:12" x14ac:dyDescent="0.2">
      <c r="A2292" t="s">
        <v>7962</v>
      </c>
      <c r="B2292" t="s">
        <v>7963</v>
      </c>
      <c r="C2292" t="s">
        <v>1812</v>
      </c>
      <c r="E2292" t="s">
        <v>7366</v>
      </c>
      <c r="F2292">
        <v>3360</v>
      </c>
      <c r="G2292" t="s">
        <v>35</v>
      </c>
      <c r="H2292" t="s">
        <v>16</v>
      </c>
      <c r="I2292" t="s">
        <v>824</v>
      </c>
      <c r="J2292" t="s">
        <v>825</v>
      </c>
      <c r="K2292" t="s">
        <v>1809</v>
      </c>
      <c r="L2292" t="str">
        <f>HYPERLINK("https://business-monitor.ch/de/companies/1088807-suresh-kumar-gaststube?utm_source=oberaargau","PROFIL ANSEHEN")</f>
        <v>PROFIL ANSEHEN</v>
      </c>
    </row>
    <row r="2293" spans="1:12" x14ac:dyDescent="0.2">
      <c r="A2293" t="s">
        <v>9484</v>
      </c>
      <c r="B2293" t="s">
        <v>1479</v>
      </c>
      <c r="C2293" t="s">
        <v>2178</v>
      </c>
      <c r="E2293" t="s">
        <v>5069</v>
      </c>
      <c r="F2293">
        <v>3367</v>
      </c>
      <c r="G2293" t="s">
        <v>455</v>
      </c>
      <c r="H2293" t="s">
        <v>16</v>
      </c>
      <c r="I2293" t="s">
        <v>175</v>
      </c>
      <c r="J2293" t="s">
        <v>176</v>
      </c>
      <c r="K2293" t="s">
        <v>1809</v>
      </c>
      <c r="L2293" t="str">
        <f>HYPERLINK("https://business-monitor.ch/de/companies/550219-garage-gautschi-ag?utm_source=oberaargau","PROFIL ANSEHEN")</f>
        <v>PROFIL ANSEHEN</v>
      </c>
    </row>
    <row r="2294" spans="1:12" x14ac:dyDescent="0.2">
      <c r="A2294" t="s">
        <v>9299</v>
      </c>
      <c r="B2294" t="s">
        <v>9300</v>
      </c>
      <c r="C2294" t="s">
        <v>1922</v>
      </c>
      <c r="D2294" t="s">
        <v>9301</v>
      </c>
      <c r="E2294" t="s">
        <v>3132</v>
      </c>
      <c r="F2294">
        <v>4900</v>
      </c>
      <c r="G2294" t="s">
        <v>41</v>
      </c>
      <c r="H2294" t="s">
        <v>16</v>
      </c>
      <c r="I2294" t="s">
        <v>2433</v>
      </c>
      <c r="J2294" t="s">
        <v>2434</v>
      </c>
      <c r="K2294" t="s">
        <v>1809</v>
      </c>
      <c r="L2294" t="str">
        <f>HYPERLINK("https://business-monitor.ch/de/companies/93362-sternwartefonds-der-sekundarschule-langenthal?utm_source=oberaargau","PROFIL ANSEHEN")</f>
        <v>PROFIL ANSEHEN</v>
      </c>
    </row>
    <row r="2295" spans="1:12" x14ac:dyDescent="0.2">
      <c r="A2295" t="s">
        <v>5146</v>
      </c>
      <c r="B2295" t="s">
        <v>5147</v>
      </c>
      <c r="C2295" t="s">
        <v>1812</v>
      </c>
      <c r="E2295" t="s">
        <v>5148</v>
      </c>
      <c r="F2295">
        <v>3367</v>
      </c>
      <c r="G2295" t="s">
        <v>455</v>
      </c>
      <c r="H2295" t="s">
        <v>16</v>
      </c>
      <c r="I2295" t="s">
        <v>4308</v>
      </c>
      <c r="J2295" t="s">
        <v>4309</v>
      </c>
      <c r="K2295" t="s">
        <v>1809</v>
      </c>
      <c r="L2295" t="str">
        <f>HYPERLINK("https://business-monitor.ch/de/companies/95785-elektro-baertschi?utm_source=oberaargau","PROFIL ANSEHEN")</f>
        <v>PROFIL ANSEHEN</v>
      </c>
    </row>
    <row r="2296" spans="1:12" x14ac:dyDescent="0.2">
      <c r="A2296" t="s">
        <v>13860</v>
      </c>
      <c r="B2296" t="s">
        <v>13861</v>
      </c>
      <c r="C2296" t="s">
        <v>202</v>
      </c>
      <c r="E2296" t="s">
        <v>5060</v>
      </c>
      <c r="F2296">
        <v>3360</v>
      </c>
      <c r="G2296" t="s">
        <v>35</v>
      </c>
      <c r="H2296" t="s">
        <v>16</v>
      </c>
      <c r="I2296" t="s">
        <v>134</v>
      </c>
      <c r="J2296" t="s">
        <v>135</v>
      </c>
      <c r="K2296" t="s">
        <v>1809</v>
      </c>
      <c r="L2296" t="str">
        <f>HYPERLINK("https://business-monitor.ch/de/companies/1279815-new-energy-source-gmbh?utm_source=oberaargau","PROFIL ANSEHEN")</f>
        <v>PROFIL ANSEHEN</v>
      </c>
    </row>
    <row r="2297" spans="1:12" x14ac:dyDescent="0.2">
      <c r="A2297" t="s">
        <v>11545</v>
      </c>
      <c r="B2297" t="s">
        <v>11546</v>
      </c>
      <c r="C2297" t="s">
        <v>202</v>
      </c>
      <c r="E2297" t="s">
        <v>13057</v>
      </c>
      <c r="F2297">
        <v>4900</v>
      </c>
      <c r="G2297" t="s">
        <v>41</v>
      </c>
      <c r="H2297" t="s">
        <v>16</v>
      </c>
      <c r="I2297" t="s">
        <v>2249</v>
      </c>
      <c r="J2297" t="s">
        <v>2250</v>
      </c>
      <c r="K2297" t="s">
        <v>1809</v>
      </c>
      <c r="L2297" t="str">
        <f>HYPERLINK("https://business-monitor.ch/de/companies/1148414-lena-storen-gmbh?utm_source=oberaargau","PROFIL ANSEHEN")</f>
        <v>PROFIL ANSEHEN</v>
      </c>
    </row>
    <row r="2298" spans="1:12" x14ac:dyDescent="0.2">
      <c r="A2298" t="s">
        <v>5654</v>
      </c>
      <c r="B2298" t="s">
        <v>5655</v>
      </c>
      <c r="C2298" t="s">
        <v>1812</v>
      </c>
      <c r="E2298" t="s">
        <v>1426</v>
      </c>
      <c r="F2298">
        <v>4912</v>
      </c>
      <c r="G2298" t="s">
        <v>64</v>
      </c>
      <c r="H2298" t="s">
        <v>16</v>
      </c>
      <c r="I2298" t="s">
        <v>331</v>
      </c>
      <c r="J2298" t="s">
        <v>332</v>
      </c>
      <c r="K2298" t="s">
        <v>1809</v>
      </c>
      <c r="L2298" t="str">
        <f>HYPERLINK("https://business-monitor.ch/de/companies/251873-edgar-klaentschi-cnc-mechanik?utm_source=oberaargau","PROFIL ANSEHEN")</f>
        <v>PROFIL ANSEHEN</v>
      </c>
    </row>
    <row r="2299" spans="1:12" x14ac:dyDescent="0.2">
      <c r="A2299" t="s">
        <v>13931</v>
      </c>
      <c r="B2299" t="s">
        <v>13932</v>
      </c>
      <c r="C2299" t="s">
        <v>1812</v>
      </c>
      <c r="E2299" t="s">
        <v>13933</v>
      </c>
      <c r="F2299">
        <v>4923</v>
      </c>
      <c r="G2299" t="s">
        <v>732</v>
      </c>
      <c r="H2299" t="s">
        <v>16</v>
      </c>
      <c r="I2299" t="s">
        <v>2842</v>
      </c>
      <c r="J2299" t="s">
        <v>2843</v>
      </c>
      <c r="K2299" t="s">
        <v>1809</v>
      </c>
      <c r="L2299" t="str">
        <f>HYPERLINK("https://business-monitor.ch/de/companies/1279843-gnt-solutions-by-gentian-nuhiji?utm_source=oberaargau","PROFIL ANSEHEN")</f>
        <v>PROFIL ANSEHEN</v>
      </c>
    </row>
    <row r="2300" spans="1:12" x14ac:dyDescent="0.2">
      <c r="A2300" t="s">
        <v>3045</v>
      </c>
      <c r="B2300" t="s">
        <v>3046</v>
      </c>
      <c r="C2300" t="s">
        <v>202</v>
      </c>
      <c r="E2300" t="s">
        <v>3047</v>
      </c>
      <c r="F2300">
        <v>4912</v>
      </c>
      <c r="G2300" t="s">
        <v>64</v>
      </c>
      <c r="H2300" t="s">
        <v>16</v>
      </c>
      <c r="I2300" t="s">
        <v>1470</v>
      </c>
      <c r="J2300" t="s">
        <v>1471</v>
      </c>
      <c r="K2300" t="s">
        <v>1809</v>
      </c>
      <c r="L2300" t="str">
        <f>HYPERLINK("https://business-monitor.ch/de/companies/351435-f-celli-gmbh?utm_source=oberaargau","PROFIL ANSEHEN")</f>
        <v>PROFIL ANSEHEN</v>
      </c>
    </row>
    <row r="2301" spans="1:12" x14ac:dyDescent="0.2">
      <c r="A2301" t="s">
        <v>2455</v>
      </c>
      <c r="B2301" t="s">
        <v>2456</v>
      </c>
      <c r="C2301" t="s">
        <v>1812</v>
      </c>
      <c r="E2301" t="s">
        <v>2457</v>
      </c>
      <c r="F2301">
        <v>4934</v>
      </c>
      <c r="G2301" t="s">
        <v>670</v>
      </c>
      <c r="H2301" t="s">
        <v>16</v>
      </c>
      <c r="I2301" t="s">
        <v>1193</v>
      </c>
      <c r="J2301" t="s">
        <v>1194</v>
      </c>
      <c r="K2301" t="s">
        <v>1809</v>
      </c>
      <c r="L2301" t="str">
        <f>HYPERLINK("https://business-monitor.ch/de/companies/518188-rfc-computer-s-santschi?utm_source=oberaargau","PROFIL ANSEHEN")</f>
        <v>PROFIL ANSEHEN</v>
      </c>
    </row>
    <row r="2302" spans="1:12" x14ac:dyDescent="0.2">
      <c r="A2302" t="s">
        <v>10938</v>
      </c>
      <c r="B2302" t="s">
        <v>10939</v>
      </c>
      <c r="C2302" t="s">
        <v>1812</v>
      </c>
      <c r="E2302" t="s">
        <v>10940</v>
      </c>
      <c r="F2302">
        <v>3360</v>
      </c>
      <c r="G2302" t="s">
        <v>35</v>
      </c>
      <c r="H2302" t="s">
        <v>16</v>
      </c>
      <c r="I2302" t="s">
        <v>1689</v>
      </c>
      <c r="J2302" t="s">
        <v>1690</v>
      </c>
      <c r="K2302" t="s">
        <v>1809</v>
      </c>
      <c r="L2302" t="str">
        <f>HYPERLINK("https://business-monitor.ch/de/companies/1099305-denis-gashi-service?utm_source=oberaargau","PROFIL ANSEHEN")</f>
        <v>PROFIL ANSEHEN</v>
      </c>
    </row>
    <row r="2303" spans="1:12" x14ac:dyDescent="0.2">
      <c r="A2303" t="s">
        <v>2416</v>
      </c>
      <c r="B2303" t="s">
        <v>2417</v>
      </c>
      <c r="C2303" t="s">
        <v>13</v>
      </c>
      <c r="E2303" t="s">
        <v>2418</v>
      </c>
      <c r="F2303">
        <v>4950</v>
      </c>
      <c r="G2303" t="s">
        <v>15</v>
      </c>
      <c r="H2303" t="s">
        <v>16</v>
      </c>
      <c r="I2303" t="s">
        <v>366</v>
      </c>
      <c r="J2303" t="s">
        <v>367</v>
      </c>
      <c r="K2303" t="s">
        <v>1809</v>
      </c>
      <c r="L2303" t="str">
        <f>HYPERLINK("https://business-monitor.ch/de/companies/515813-fiechtenpark-ag?utm_source=oberaargau","PROFIL ANSEHEN")</f>
        <v>PROFIL ANSEHEN</v>
      </c>
    </row>
    <row r="2304" spans="1:12" x14ac:dyDescent="0.2">
      <c r="A2304" t="s">
        <v>4191</v>
      </c>
      <c r="B2304" t="s">
        <v>4192</v>
      </c>
      <c r="C2304" t="s">
        <v>202</v>
      </c>
      <c r="E2304" t="s">
        <v>4189</v>
      </c>
      <c r="F2304">
        <v>4704</v>
      </c>
      <c r="G2304" t="s">
        <v>221</v>
      </c>
      <c r="H2304" t="s">
        <v>16</v>
      </c>
      <c r="I2304" t="s">
        <v>1535</v>
      </c>
      <c r="J2304" t="s">
        <v>1536</v>
      </c>
      <c r="K2304" t="s">
        <v>1809</v>
      </c>
      <c r="L2304" t="str">
        <f>HYPERLINK("https://business-monitor.ch/de/companies/1010092-fasan-65-gmbh?utm_source=oberaargau","PROFIL ANSEHEN")</f>
        <v>PROFIL ANSEHEN</v>
      </c>
    </row>
    <row r="2305" spans="1:12" x14ac:dyDescent="0.2">
      <c r="A2305" t="s">
        <v>2302</v>
      </c>
      <c r="B2305" t="s">
        <v>2303</v>
      </c>
      <c r="C2305" t="s">
        <v>1922</v>
      </c>
      <c r="E2305" t="s">
        <v>2304</v>
      </c>
      <c r="F2305">
        <v>4900</v>
      </c>
      <c r="G2305" t="s">
        <v>41</v>
      </c>
      <c r="H2305" t="s">
        <v>16</v>
      </c>
      <c r="I2305" t="s">
        <v>2116</v>
      </c>
      <c r="J2305" t="s">
        <v>2117</v>
      </c>
      <c r="K2305" t="s">
        <v>1809</v>
      </c>
      <c r="L2305" t="str">
        <f>HYPERLINK("https://business-monitor.ch/de/companies/254629-personalfuersorgestiftung-der-olg?utm_source=oberaargau","PROFIL ANSEHEN")</f>
        <v>PROFIL ANSEHEN</v>
      </c>
    </row>
    <row r="2306" spans="1:12" x14ac:dyDescent="0.2">
      <c r="A2306" t="s">
        <v>12607</v>
      </c>
      <c r="B2306" t="s">
        <v>12608</v>
      </c>
      <c r="C2306" t="s">
        <v>202</v>
      </c>
      <c r="D2306" t="s">
        <v>12609</v>
      </c>
      <c r="E2306" t="s">
        <v>12610</v>
      </c>
      <c r="F2306">
        <v>4900</v>
      </c>
      <c r="G2306" t="s">
        <v>41</v>
      </c>
      <c r="H2306" t="s">
        <v>16</v>
      </c>
      <c r="I2306" t="s">
        <v>733</v>
      </c>
      <c r="J2306" t="s">
        <v>734</v>
      </c>
      <c r="K2306" t="s">
        <v>1809</v>
      </c>
      <c r="L2306" t="str">
        <f>HYPERLINK("https://business-monitor.ch/de/companies/1205305-marti-e-transporter-gmbh?utm_source=oberaargau","PROFIL ANSEHEN")</f>
        <v>PROFIL ANSEHEN</v>
      </c>
    </row>
    <row r="2307" spans="1:12" x14ac:dyDescent="0.2">
      <c r="A2307" t="s">
        <v>7286</v>
      </c>
      <c r="B2307" t="s">
        <v>7287</v>
      </c>
      <c r="C2307" t="s">
        <v>13</v>
      </c>
      <c r="E2307" t="s">
        <v>7288</v>
      </c>
      <c r="F2307">
        <v>4704</v>
      </c>
      <c r="G2307" t="s">
        <v>221</v>
      </c>
      <c r="H2307" t="s">
        <v>16</v>
      </c>
      <c r="I2307" t="s">
        <v>935</v>
      </c>
      <c r="J2307" t="s">
        <v>936</v>
      </c>
      <c r="K2307" t="s">
        <v>1809</v>
      </c>
      <c r="L2307" t="str">
        <f>HYPERLINK("https://business-monitor.ch/de/companies/1011809-bbil-ag?utm_source=oberaargau","PROFIL ANSEHEN")</f>
        <v>PROFIL ANSEHEN</v>
      </c>
    </row>
    <row r="2308" spans="1:12" x14ac:dyDescent="0.2">
      <c r="A2308" t="s">
        <v>12996</v>
      </c>
      <c r="B2308" t="s">
        <v>12997</v>
      </c>
      <c r="C2308" t="s">
        <v>1812</v>
      </c>
      <c r="E2308" t="s">
        <v>1650</v>
      </c>
      <c r="F2308">
        <v>4914</v>
      </c>
      <c r="G2308" t="s">
        <v>105</v>
      </c>
      <c r="H2308" t="s">
        <v>16</v>
      </c>
      <c r="I2308" t="s">
        <v>2900</v>
      </c>
      <c r="J2308" t="s">
        <v>2901</v>
      </c>
      <c r="K2308" t="s">
        <v>1809</v>
      </c>
      <c r="L2308" t="str">
        <f>HYPERLINK("https://business-monitor.ch/de/companies/1228623-fahrvision-ch-besnik-musliu?utm_source=oberaargau","PROFIL ANSEHEN")</f>
        <v>PROFIL ANSEHEN</v>
      </c>
    </row>
    <row r="2309" spans="1:12" x14ac:dyDescent="0.2">
      <c r="A2309" t="s">
        <v>835</v>
      </c>
      <c r="B2309" t="s">
        <v>836</v>
      </c>
      <c r="C2309" t="s">
        <v>13</v>
      </c>
      <c r="E2309" t="s">
        <v>837</v>
      </c>
      <c r="F2309">
        <v>4950</v>
      </c>
      <c r="G2309" t="s">
        <v>15</v>
      </c>
      <c r="H2309" t="s">
        <v>16</v>
      </c>
      <c r="I2309" t="s">
        <v>838</v>
      </c>
      <c r="J2309" t="s">
        <v>839</v>
      </c>
      <c r="K2309" t="s">
        <v>1809</v>
      </c>
      <c r="L2309" t="str">
        <f>HYPERLINK("https://business-monitor.ch/de/companies/173827-niederhauser-mode-ag?utm_source=oberaargau","PROFIL ANSEHEN")</f>
        <v>PROFIL ANSEHEN</v>
      </c>
    </row>
    <row r="2310" spans="1:12" x14ac:dyDescent="0.2">
      <c r="A2310" t="s">
        <v>5051</v>
      </c>
      <c r="B2310" t="s">
        <v>5052</v>
      </c>
      <c r="C2310" t="s">
        <v>1812</v>
      </c>
      <c r="E2310" t="s">
        <v>5053</v>
      </c>
      <c r="F2310">
        <v>4914</v>
      </c>
      <c r="G2310" t="s">
        <v>717</v>
      </c>
      <c r="H2310" t="s">
        <v>16</v>
      </c>
      <c r="I2310" t="s">
        <v>596</v>
      </c>
      <c r="J2310" t="s">
        <v>597</v>
      </c>
      <c r="K2310" t="s">
        <v>1809</v>
      </c>
      <c r="L2310" t="str">
        <f>HYPERLINK("https://business-monitor.ch/de/companies/172328-bruno-hug?utm_source=oberaargau","PROFIL ANSEHEN")</f>
        <v>PROFIL ANSEHEN</v>
      </c>
    </row>
    <row r="2311" spans="1:12" x14ac:dyDescent="0.2">
      <c r="A2311" t="s">
        <v>10442</v>
      </c>
      <c r="B2311" t="s">
        <v>10443</v>
      </c>
      <c r="C2311" t="s">
        <v>13</v>
      </c>
      <c r="E2311" t="s">
        <v>13874</v>
      </c>
      <c r="F2311">
        <v>4950</v>
      </c>
      <c r="G2311" t="s">
        <v>15</v>
      </c>
      <c r="H2311" t="s">
        <v>16</v>
      </c>
      <c r="I2311" t="s">
        <v>662</v>
      </c>
      <c r="J2311" t="s">
        <v>663</v>
      </c>
      <c r="K2311" t="s">
        <v>1809</v>
      </c>
      <c r="L2311" t="str">
        <f>HYPERLINK("https://business-monitor.ch/de/companies/173464-a-niederhauser-ag?utm_source=oberaargau","PROFIL ANSEHEN")</f>
        <v>PROFIL ANSEHEN</v>
      </c>
    </row>
    <row r="2312" spans="1:12" x14ac:dyDescent="0.2">
      <c r="A2312" t="s">
        <v>2792</v>
      </c>
      <c r="B2312" t="s">
        <v>2793</v>
      </c>
      <c r="C2312" t="s">
        <v>202</v>
      </c>
      <c r="E2312" t="s">
        <v>2794</v>
      </c>
      <c r="F2312">
        <v>4900</v>
      </c>
      <c r="G2312" t="s">
        <v>41</v>
      </c>
      <c r="H2312" t="s">
        <v>16</v>
      </c>
      <c r="I2312" t="s">
        <v>1267</v>
      </c>
      <c r="J2312" t="s">
        <v>1268</v>
      </c>
      <c r="K2312" t="s">
        <v>1809</v>
      </c>
      <c r="L2312" t="str">
        <f>HYPERLINK("https://business-monitor.ch/de/companies/436595-hillmount-gmbh?utm_source=oberaargau","PROFIL ANSEHEN")</f>
        <v>PROFIL ANSEHEN</v>
      </c>
    </row>
    <row r="2313" spans="1:12" x14ac:dyDescent="0.2">
      <c r="A2313" t="s">
        <v>10610</v>
      </c>
      <c r="B2313" t="s">
        <v>10611</v>
      </c>
      <c r="C2313" t="s">
        <v>1812</v>
      </c>
      <c r="E2313" t="s">
        <v>10612</v>
      </c>
      <c r="F2313">
        <v>4912</v>
      </c>
      <c r="G2313" t="s">
        <v>64</v>
      </c>
      <c r="H2313" t="s">
        <v>16</v>
      </c>
      <c r="I2313" t="s">
        <v>997</v>
      </c>
      <c r="J2313" t="s">
        <v>998</v>
      </c>
      <c r="K2313" t="s">
        <v>1809</v>
      </c>
      <c r="L2313" t="str">
        <f>HYPERLINK("https://business-monitor.ch/de/companies/171456-ulrich-troesch?utm_source=oberaargau","PROFIL ANSEHEN")</f>
        <v>PROFIL ANSEHEN</v>
      </c>
    </row>
    <row r="2314" spans="1:12" x14ac:dyDescent="0.2">
      <c r="A2314" t="s">
        <v>2482</v>
      </c>
      <c r="B2314" t="s">
        <v>2483</v>
      </c>
      <c r="C2314" t="s">
        <v>13</v>
      </c>
      <c r="D2314" t="s">
        <v>2484</v>
      </c>
      <c r="E2314" t="s">
        <v>166</v>
      </c>
      <c r="F2314">
        <v>4900</v>
      </c>
      <c r="G2314" t="s">
        <v>41</v>
      </c>
      <c r="H2314" t="s">
        <v>16</v>
      </c>
      <c r="I2314" t="s">
        <v>186</v>
      </c>
      <c r="J2314" t="s">
        <v>187</v>
      </c>
      <c r="K2314" t="s">
        <v>1809</v>
      </c>
      <c r="L2314" t="str">
        <f>HYPERLINK("https://business-monitor.ch/de/companies/313994-witschi-group-ag?utm_source=oberaargau","PROFIL ANSEHEN")</f>
        <v>PROFIL ANSEHEN</v>
      </c>
    </row>
    <row r="2315" spans="1:12" x14ac:dyDescent="0.2">
      <c r="A2315" t="s">
        <v>5958</v>
      </c>
      <c r="B2315" t="s">
        <v>5959</v>
      </c>
      <c r="C2315" t="s">
        <v>202</v>
      </c>
      <c r="E2315" t="s">
        <v>5960</v>
      </c>
      <c r="F2315">
        <v>4913</v>
      </c>
      <c r="G2315" t="s">
        <v>207</v>
      </c>
      <c r="H2315" t="s">
        <v>16</v>
      </c>
      <c r="I2315" t="s">
        <v>4877</v>
      </c>
      <c r="J2315" t="s">
        <v>4878</v>
      </c>
      <c r="K2315" t="s">
        <v>1809</v>
      </c>
      <c r="L2315" t="str">
        <f>HYPERLINK("https://business-monitor.ch/de/companies/468452-avisky-gmbh?utm_source=oberaargau","PROFIL ANSEHEN")</f>
        <v>PROFIL ANSEHEN</v>
      </c>
    </row>
    <row r="2316" spans="1:12" x14ac:dyDescent="0.2">
      <c r="A2316" t="s">
        <v>14506</v>
      </c>
      <c r="B2316" t="s">
        <v>14507</v>
      </c>
      <c r="C2316" t="s">
        <v>1812</v>
      </c>
      <c r="E2316" t="s">
        <v>14508</v>
      </c>
      <c r="F2316">
        <v>4924</v>
      </c>
      <c r="G2316" t="s">
        <v>3727</v>
      </c>
      <c r="H2316" t="s">
        <v>16</v>
      </c>
      <c r="I2316" t="s">
        <v>824</v>
      </c>
      <c r="J2316" t="s">
        <v>825</v>
      </c>
      <c r="K2316" t="s">
        <v>1809</v>
      </c>
      <c r="L2316" t="str">
        <f>HYPERLINK("https://business-monitor.ch/de/companies/1303181-meatropolis-sachmpazov?utm_source=oberaargau","PROFIL ANSEHEN")</f>
        <v>PROFIL ANSEHEN</v>
      </c>
    </row>
    <row r="2317" spans="1:12" x14ac:dyDescent="0.2">
      <c r="A2317" t="s">
        <v>4665</v>
      </c>
      <c r="B2317" t="s">
        <v>4666</v>
      </c>
      <c r="C2317" t="s">
        <v>13</v>
      </c>
      <c r="D2317" t="s">
        <v>4667</v>
      </c>
      <c r="E2317" t="s">
        <v>559</v>
      </c>
      <c r="F2317">
        <v>4900</v>
      </c>
      <c r="G2317" t="s">
        <v>41</v>
      </c>
      <c r="H2317" t="s">
        <v>16</v>
      </c>
      <c r="I2317" t="s">
        <v>186</v>
      </c>
      <c r="J2317" t="s">
        <v>187</v>
      </c>
      <c r="K2317" t="s">
        <v>1809</v>
      </c>
      <c r="L2317" t="str">
        <f>HYPERLINK("https://business-monitor.ch/de/companies/615837-cml-holding-ag?utm_source=oberaargau","PROFIL ANSEHEN")</f>
        <v>PROFIL ANSEHEN</v>
      </c>
    </row>
    <row r="2318" spans="1:12" x14ac:dyDescent="0.2">
      <c r="A2318" t="s">
        <v>10437</v>
      </c>
      <c r="B2318" t="s">
        <v>10438</v>
      </c>
      <c r="C2318" t="s">
        <v>1812</v>
      </c>
      <c r="E2318" t="s">
        <v>10439</v>
      </c>
      <c r="F2318">
        <v>4704</v>
      </c>
      <c r="G2318" t="s">
        <v>221</v>
      </c>
      <c r="H2318" t="s">
        <v>16</v>
      </c>
      <c r="I2318" t="s">
        <v>642</v>
      </c>
      <c r="J2318" t="s">
        <v>643</v>
      </c>
      <c r="K2318" t="s">
        <v>1809</v>
      </c>
      <c r="L2318" t="str">
        <f>HYPERLINK("https://business-monitor.ch/de/companies/227909-garage-r-bussmann?utm_source=oberaargau","PROFIL ANSEHEN")</f>
        <v>PROFIL ANSEHEN</v>
      </c>
    </row>
    <row r="2319" spans="1:12" x14ac:dyDescent="0.2">
      <c r="A2319" t="s">
        <v>3314</v>
      </c>
      <c r="B2319" t="s">
        <v>3315</v>
      </c>
      <c r="C2319" t="s">
        <v>13</v>
      </c>
      <c r="E2319" t="s">
        <v>3316</v>
      </c>
      <c r="F2319">
        <v>3360</v>
      </c>
      <c r="G2319" t="s">
        <v>35</v>
      </c>
      <c r="H2319" t="s">
        <v>16</v>
      </c>
      <c r="I2319" t="s">
        <v>260</v>
      </c>
      <c r="J2319" t="s">
        <v>261</v>
      </c>
      <c r="K2319" t="s">
        <v>1809</v>
      </c>
      <c r="L2319" t="str">
        <f>HYPERLINK("https://business-monitor.ch/de/companies/234309-meister-architektur-innengestaltung-ag?utm_source=oberaargau","PROFIL ANSEHEN")</f>
        <v>PROFIL ANSEHEN</v>
      </c>
    </row>
    <row r="2320" spans="1:12" x14ac:dyDescent="0.2">
      <c r="A2320" t="s">
        <v>5874</v>
      </c>
      <c r="B2320" t="s">
        <v>5875</v>
      </c>
      <c r="C2320" t="s">
        <v>13</v>
      </c>
      <c r="E2320" t="s">
        <v>231</v>
      </c>
      <c r="F2320">
        <v>4900</v>
      </c>
      <c r="G2320" t="s">
        <v>41</v>
      </c>
      <c r="H2320" t="s">
        <v>16</v>
      </c>
      <c r="I2320" t="s">
        <v>1401</v>
      </c>
      <c r="J2320" t="s">
        <v>1402</v>
      </c>
      <c r="K2320" t="s">
        <v>1809</v>
      </c>
      <c r="L2320" t="str">
        <f>HYPERLINK("https://business-monitor.ch/de/companies/1726-hoflor-ag?utm_source=oberaargau","PROFIL ANSEHEN")</f>
        <v>PROFIL ANSEHEN</v>
      </c>
    </row>
    <row r="2321" spans="1:12" x14ac:dyDescent="0.2">
      <c r="A2321" t="s">
        <v>2993</v>
      </c>
      <c r="B2321" t="s">
        <v>2994</v>
      </c>
      <c r="C2321" t="s">
        <v>202</v>
      </c>
      <c r="E2321" t="s">
        <v>179</v>
      </c>
      <c r="F2321">
        <v>4900</v>
      </c>
      <c r="G2321" t="s">
        <v>41</v>
      </c>
      <c r="H2321" t="s">
        <v>16</v>
      </c>
      <c r="I2321" t="s">
        <v>781</v>
      </c>
      <c r="J2321" t="s">
        <v>782</v>
      </c>
      <c r="K2321" t="s">
        <v>1809</v>
      </c>
      <c r="L2321" t="str">
        <f>HYPERLINK("https://business-monitor.ch/de/companies/355282-sibo-mechanik-gmbh?utm_source=oberaargau","PROFIL ANSEHEN")</f>
        <v>PROFIL ANSEHEN</v>
      </c>
    </row>
    <row r="2322" spans="1:12" x14ac:dyDescent="0.2">
      <c r="A2322" t="s">
        <v>10103</v>
      </c>
      <c r="B2322" t="s">
        <v>10104</v>
      </c>
      <c r="C2322" t="s">
        <v>13</v>
      </c>
      <c r="E2322" t="s">
        <v>10105</v>
      </c>
      <c r="F2322">
        <v>4900</v>
      </c>
      <c r="G2322" t="s">
        <v>41</v>
      </c>
      <c r="H2322" t="s">
        <v>16</v>
      </c>
      <c r="I2322" t="s">
        <v>935</v>
      </c>
      <c r="J2322" t="s">
        <v>936</v>
      </c>
      <c r="K2322" t="s">
        <v>1809</v>
      </c>
      <c r="L2322" t="str">
        <f>HYPERLINK("https://business-monitor.ch/de/companies/674036-nvmk-ag?utm_source=oberaargau","PROFIL ANSEHEN")</f>
        <v>PROFIL ANSEHEN</v>
      </c>
    </row>
    <row r="2323" spans="1:12" x14ac:dyDescent="0.2">
      <c r="A2323" t="s">
        <v>10015</v>
      </c>
      <c r="B2323" t="s">
        <v>10016</v>
      </c>
      <c r="C2323" t="s">
        <v>13</v>
      </c>
      <c r="D2323" t="s">
        <v>10017</v>
      </c>
      <c r="E2323" t="s">
        <v>10018</v>
      </c>
      <c r="F2323">
        <v>4912</v>
      </c>
      <c r="G2323" t="s">
        <v>64</v>
      </c>
      <c r="H2323" t="s">
        <v>16</v>
      </c>
      <c r="I2323" t="s">
        <v>182</v>
      </c>
      <c r="J2323" t="s">
        <v>183</v>
      </c>
      <c r="K2323" t="s">
        <v>1809</v>
      </c>
      <c r="L2323" t="str">
        <f>HYPERLINK("https://business-monitor.ch/de/companies/717552-tra-holding-ag?utm_source=oberaargau","PROFIL ANSEHEN")</f>
        <v>PROFIL ANSEHEN</v>
      </c>
    </row>
    <row r="2324" spans="1:12" x14ac:dyDescent="0.2">
      <c r="A2324" t="s">
        <v>9781</v>
      </c>
      <c r="B2324" t="s">
        <v>9782</v>
      </c>
      <c r="C2324" t="s">
        <v>202</v>
      </c>
      <c r="E2324" t="s">
        <v>4830</v>
      </c>
      <c r="F2324">
        <v>4704</v>
      </c>
      <c r="G2324" t="s">
        <v>221</v>
      </c>
      <c r="H2324" t="s">
        <v>16</v>
      </c>
      <c r="I2324" t="s">
        <v>608</v>
      </c>
      <c r="J2324" t="s">
        <v>609</v>
      </c>
      <c r="K2324" t="s">
        <v>1809</v>
      </c>
      <c r="L2324" t="str">
        <f>HYPERLINK("https://business-monitor.ch/de/companies/1021787-schreinerei-adrian-egger-gmbh?utm_source=oberaargau","PROFIL ANSEHEN")</f>
        <v>PROFIL ANSEHEN</v>
      </c>
    </row>
    <row r="2325" spans="1:12" x14ac:dyDescent="0.2">
      <c r="A2325" t="s">
        <v>9770</v>
      </c>
      <c r="B2325" t="s">
        <v>9771</v>
      </c>
      <c r="C2325" t="s">
        <v>1812</v>
      </c>
      <c r="E2325" t="s">
        <v>9772</v>
      </c>
      <c r="F2325">
        <v>3380</v>
      </c>
      <c r="G2325" t="s">
        <v>29</v>
      </c>
      <c r="H2325" t="s">
        <v>16</v>
      </c>
      <c r="I2325" t="s">
        <v>9773</v>
      </c>
      <c r="J2325" t="s">
        <v>9774</v>
      </c>
      <c r="K2325" t="s">
        <v>1809</v>
      </c>
      <c r="L2325" t="str">
        <f>HYPERLINK("https://business-monitor.ch/de/companies/1024763-maleski-multimedia?utm_source=oberaargau","PROFIL ANSEHEN")</f>
        <v>PROFIL ANSEHEN</v>
      </c>
    </row>
    <row r="2326" spans="1:12" x14ac:dyDescent="0.2">
      <c r="A2326" t="s">
        <v>2288</v>
      </c>
      <c r="B2326" t="s">
        <v>2289</v>
      </c>
      <c r="C2326" t="s">
        <v>1812</v>
      </c>
      <c r="E2326" t="s">
        <v>2290</v>
      </c>
      <c r="F2326">
        <v>4932</v>
      </c>
      <c r="G2326" t="s">
        <v>325</v>
      </c>
      <c r="H2326" t="s">
        <v>16</v>
      </c>
      <c r="I2326" t="s">
        <v>587</v>
      </c>
      <c r="J2326" t="s">
        <v>588</v>
      </c>
      <c r="K2326" t="s">
        <v>1809</v>
      </c>
      <c r="L2326" t="str">
        <f>HYPERLINK("https://business-monitor.ch/de/companies/264105-fml-bautechnik-haustechnik-waermetechnik-friederich-markus?utm_source=oberaargau","PROFIL ANSEHEN")</f>
        <v>PROFIL ANSEHEN</v>
      </c>
    </row>
    <row r="2327" spans="1:12" x14ac:dyDescent="0.2">
      <c r="A2327" t="s">
        <v>13229</v>
      </c>
      <c r="B2327" t="s">
        <v>13230</v>
      </c>
      <c r="C2327" t="s">
        <v>13</v>
      </c>
      <c r="E2327" t="s">
        <v>13231</v>
      </c>
      <c r="F2327">
        <v>4900</v>
      </c>
      <c r="G2327" t="s">
        <v>41</v>
      </c>
      <c r="H2327" t="s">
        <v>16</v>
      </c>
      <c r="I2327" t="s">
        <v>800</v>
      </c>
      <c r="J2327" t="s">
        <v>801</v>
      </c>
      <c r="K2327" t="s">
        <v>1809</v>
      </c>
      <c r="L2327" t="str">
        <f>HYPERLINK("https://business-monitor.ch/de/companies/1239736-weber-langenthal-ag?utm_source=oberaargau","PROFIL ANSEHEN")</f>
        <v>PROFIL ANSEHEN</v>
      </c>
    </row>
    <row r="2328" spans="1:12" x14ac:dyDescent="0.2">
      <c r="A2328" t="s">
        <v>14011</v>
      </c>
      <c r="B2328" t="s">
        <v>14012</v>
      </c>
      <c r="C2328" t="s">
        <v>1812</v>
      </c>
      <c r="E2328" t="s">
        <v>14013</v>
      </c>
      <c r="F2328">
        <v>4922</v>
      </c>
      <c r="G2328" t="s">
        <v>99</v>
      </c>
      <c r="H2328" t="s">
        <v>16</v>
      </c>
      <c r="I2328" t="s">
        <v>2440</v>
      </c>
      <c r="J2328" t="s">
        <v>2441</v>
      </c>
      <c r="K2328" t="s">
        <v>1809</v>
      </c>
      <c r="L2328" t="str">
        <f>HYPERLINK("https://business-monitor.ch/de/companies/1273072-enox-skrobo?utm_source=oberaargau","PROFIL ANSEHEN")</f>
        <v>PROFIL ANSEHEN</v>
      </c>
    </row>
    <row r="2329" spans="1:12" x14ac:dyDescent="0.2">
      <c r="A2329" t="s">
        <v>4142</v>
      </c>
      <c r="B2329" t="s">
        <v>4143</v>
      </c>
      <c r="C2329" t="s">
        <v>202</v>
      </c>
      <c r="E2329" t="s">
        <v>4144</v>
      </c>
      <c r="F2329">
        <v>4704</v>
      </c>
      <c r="G2329" t="s">
        <v>221</v>
      </c>
      <c r="H2329" t="s">
        <v>16</v>
      </c>
      <c r="I2329" t="s">
        <v>1267</v>
      </c>
      <c r="J2329" t="s">
        <v>1268</v>
      </c>
      <c r="K2329" t="s">
        <v>1809</v>
      </c>
      <c r="L2329" t="str">
        <f>HYPERLINK("https://business-monitor.ch/de/companies/1026768-sinoptima-consulting-gmbh?utm_source=oberaargau","PROFIL ANSEHEN")</f>
        <v>PROFIL ANSEHEN</v>
      </c>
    </row>
    <row r="2330" spans="1:12" x14ac:dyDescent="0.2">
      <c r="A2330" t="s">
        <v>12976</v>
      </c>
      <c r="B2330" t="s">
        <v>12977</v>
      </c>
      <c r="C2330" t="s">
        <v>13</v>
      </c>
      <c r="D2330" t="s">
        <v>2573</v>
      </c>
      <c r="E2330" t="s">
        <v>1629</v>
      </c>
      <c r="F2330">
        <v>3368</v>
      </c>
      <c r="G2330" t="s">
        <v>308</v>
      </c>
      <c r="H2330" t="s">
        <v>16</v>
      </c>
      <c r="I2330" t="s">
        <v>186</v>
      </c>
      <c r="J2330" t="s">
        <v>187</v>
      </c>
      <c r="K2330" t="s">
        <v>1809</v>
      </c>
      <c r="L2330" t="str">
        <f>HYPERLINK("https://business-monitor.ch/de/companies/1241330-hcs-beteiligungen-ag?utm_source=oberaargau","PROFIL ANSEHEN")</f>
        <v>PROFIL ANSEHEN</v>
      </c>
    </row>
    <row r="2331" spans="1:12" x14ac:dyDescent="0.2">
      <c r="A2331" t="s">
        <v>3222</v>
      </c>
      <c r="B2331" t="s">
        <v>3223</v>
      </c>
      <c r="C2331" t="s">
        <v>202</v>
      </c>
      <c r="E2331" t="s">
        <v>3224</v>
      </c>
      <c r="F2331">
        <v>3380</v>
      </c>
      <c r="G2331" t="s">
        <v>29</v>
      </c>
      <c r="H2331" t="s">
        <v>16</v>
      </c>
      <c r="I2331" t="s">
        <v>1721</v>
      </c>
      <c r="J2331" t="s">
        <v>1722</v>
      </c>
      <c r="K2331" t="s">
        <v>1809</v>
      </c>
      <c r="L2331" t="str">
        <f>HYPERLINK("https://business-monitor.ch/de/companies/270577-vtec-electronics-gmbh?utm_source=oberaargau","PROFIL ANSEHEN")</f>
        <v>PROFIL ANSEHEN</v>
      </c>
    </row>
    <row r="2332" spans="1:12" x14ac:dyDescent="0.2">
      <c r="A2332" t="s">
        <v>13219</v>
      </c>
      <c r="B2332" t="s">
        <v>13220</v>
      </c>
      <c r="C2332" t="s">
        <v>202</v>
      </c>
      <c r="E2332" t="s">
        <v>1341</v>
      </c>
      <c r="F2332">
        <v>4900</v>
      </c>
      <c r="G2332" t="s">
        <v>41</v>
      </c>
      <c r="H2332" t="s">
        <v>16</v>
      </c>
      <c r="I2332" t="s">
        <v>5161</v>
      </c>
      <c r="J2332" t="s">
        <v>5162</v>
      </c>
      <c r="K2332" t="s">
        <v>1809</v>
      </c>
      <c r="L2332" t="str">
        <f>HYPERLINK("https://business-monitor.ch/de/companies/1240962-kaffee-fabrik-langenthal-gmbh?utm_source=oberaargau","PROFIL ANSEHEN")</f>
        <v>PROFIL ANSEHEN</v>
      </c>
    </row>
    <row r="2333" spans="1:12" x14ac:dyDescent="0.2">
      <c r="A2333" t="s">
        <v>10039</v>
      </c>
      <c r="B2333" t="s">
        <v>10040</v>
      </c>
      <c r="C2333" t="s">
        <v>202</v>
      </c>
      <c r="E2333" t="s">
        <v>10041</v>
      </c>
      <c r="F2333">
        <v>4537</v>
      </c>
      <c r="G2333" t="s">
        <v>113</v>
      </c>
      <c r="H2333" t="s">
        <v>16</v>
      </c>
      <c r="I2333" t="s">
        <v>2213</v>
      </c>
      <c r="J2333" t="s">
        <v>2214</v>
      </c>
      <c r="K2333" t="s">
        <v>1809</v>
      </c>
      <c r="L2333" t="str">
        <f>HYPERLINK("https://business-monitor.ch/de/companies/702900-golf-unlimited-gmbh?utm_source=oberaargau","PROFIL ANSEHEN")</f>
        <v>PROFIL ANSEHEN</v>
      </c>
    </row>
    <row r="2334" spans="1:12" x14ac:dyDescent="0.2">
      <c r="A2334" t="s">
        <v>6584</v>
      </c>
      <c r="B2334" t="s">
        <v>7952</v>
      </c>
      <c r="C2334" t="s">
        <v>2258</v>
      </c>
      <c r="E2334" t="s">
        <v>3755</v>
      </c>
      <c r="F2334">
        <v>4950</v>
      </c>
      <c r="G2334" t="s">
        <v>15</v>
      </c>
      <c r="H2334" t="s">
        <v>16</v>
      </c>
      <c r="I2334" t="s">
        <v>3344</v>
      </c>
      <c r="J2334" t="s">
        <v>3345</v>
      </c>
      <c r="K2334" t="s">
        <v>1809</v>
      </c>
      <c r="L2334" t="str">
        <f>HYPERLINK("https://business-monitor.ch/de/companies/2367-verein-spitex-oberes-langetental?utm_source=oberaargau","PROFIL ANSEHEN")</f>
        <v>PROFIL ANSEHEN</v>
      </c>
    </row>
    <row r="2335" spans="1:12" x14ac:dyDescent="0.2">
      <c r="A2335" t="s">
        <v>13852</v>
      </c>
      <c r="B2335" t="s">
        <v>13853</v>
      </c>
      <c r="C2335" t="s">
        <v>202</v>
      </c>
      <c r="E2335" t="s">
        <v>13854</v>
      </c>
      <c r="F2335">
        <v>4900</v>
      </c>
      <c r="G2335" t="s">
        <v>41</v>
      </c>
      <c r="H2335" t="s">
        <v>16</v>
      </c>
      <c r="I2335" t="s">
        <v>824</v>
      </c>
      <c r="J2335" t="s">
        <v>825</v>
      </c>
      <c r="K2335" t="s">
        <v>1809</v>
      </c>
      <c r="L2335" t="str">
        <f>HYPERLINK("https://business-monitor.ch/de/companies/1269712-ofenfrisch-baeckerei-gmbh?utm_source=oberaargau","PROFIL ANSEHEN")</f>
        <v>PROFIL ANSEHEN</v>
      </c>
    </row>
    <row r="2336" spans="1:12" x14ac:dyDescent="0.2">
      <c r="A2336" t="s">
        <v>13640</v>
      </c>
      <c r="B2336" t="s">
        <v>13641</v>
      </c>
      <c r="C2336" t="s">
        <v>1812</v>
      </c>
      <c r="E2336" t="s">
        <v>11920</v>
      </c>
      <c r="F2336">
        <v>4934</v>
      </c>
      <c r="G2336" t="s">
        <v>670</v>
      </c>
      <c r="H2336" t="s">
        <v>16</v>
      </c>
      <c r="I2336" t="s">
        <v>1835</v>
      </c>
      <c r="J2336" t="s">
        <v>1836</v>
      </c>
      <c r="K2336" t="s">
        <v>1809</v>
      </c>
      <c r="L2336" t="str">
        <f>HYPERLINK("https://business-monitor.ch/de/companies/1258619-gisela-s-unterhaltsreinigung-inh-schneeberger?utm_source=oberaargau","PROFIL ANSEHEN")</f>
        <v>PROFIL ANSEHEN</v>
      </c>
    </row>
    <row r="2337" spans="1:12" x14ac:dyDescent="0.2">
      <c r="A2337" t="s">
        <v>13232</v>
      </c>
      <c r="B2337" t="s">
        <v>13976</v>
      </c>
      <c r="C2337" t="s">
        <v>202</v>
      </c>
      <c r="E2337" t="s">
        <v>13233</v>
      </c>
      <c r="F2337">
        <v>3375</v>
      </c>
      <c r="G2337" t="s">
        <v>667</v>
      </c>
      <c r="H2337" t="s">
        <v>16</v>
      </c>
      <c r="I2337" t="s">
        <v>642</v>
      </c>
      <c r="J2337" t="s">
        <v>643</v>
      </c>
      <c r="K2337" t="s">
        <v>1809</v>
      </c>
      <c r="L2337" t="str">
        <f>HYPERLINK("https://business-monitor.ch/de/companies/1241754-kevin-s-services-gmbh?utm_source=oberaargau","PROFIL ANSEHEN")</f>
        <v>PROFIL ANSEHEN</v>
      </c>
    </row>
    <row r="2338" spans="1:12" x14ac:dyDescent="0.2">
      <c r="A2338" t="s">
        <v>10702</v>
      </c>
      <c r="B2338" t="s">
        <v>10703</v>
      </c>
      <c r="C2338" t="s">
        <v>202</v>
      </c>
      <c r="E2338" t="s">
        <v>10704</v>
      </c>
      <c r="F2338">
        <v>4942</v>
      </c>
      <c r="G2338" t="s">
        <v>1287</v>
      </c>
      <c r="H2338" t="s">
        <v>16</v>
      </c>
      <c r="I2338" t="s">
        <v>1716</v>
      </c>
      <c r="J2338" t="s">
        <v>1717</v>
      </c>
      <c r="K2338" t="s">
        <v>1809</v>
      </c>
      <c r="L2338" t="str">
        <f>HYPERLINK("https://business-monitor.ch/de/companies/329315-brauerei-napf-gmbh?utm_source=oberaargau","PROFIL ANSEHEN")</f>
        <v>PROFIL ANSEHEN</v>
      </c>
    </row>
    <row r="2339" spans="1:12" x14ac:dyDescent="0.2">
      <c r="A2339" t="s">
        <v>14226</v>
      </c>
      <c r="B2339" t="s">
        <v>14227</v>
      </c>
      <c r="C2339" t="s">
        <v>1812</v>
      </c>
      <c r="E2339" t="s">
        <v>3628</v>
      </c>
      <c r="F2339">
        <v>4900</v>
      </c>
      <c r="G2339" t="s">
        <v>41</v>
      </c>
      <c r="H2339" t="s">
        <v>16</v>
      </c>
      <c r="I2339" t="s">
        <v>940</v>
      </c>
      <c r="J2339" t="s">
        <v>941</v>
      </c>
      <c r="K2339" t="s">
        <v>1809</v>
      </c>
      <c r="L2339" t="str">
        <f>HYPERLINK("https://business-monitor.ch/de/companies/1290916-bar-billard-gaglia?utm_source=oberaargau","PROFIL ANSEHEN")</f>
        <v>PROFIL ANSEHEN</v>
      </c>
    </row>
    <row r="2340" spans="1:12" x14ac:dyDescent="0.2">
      <c r="A2340" t="s">
        <v>2511</v>
      </c>
      <c r="B2340" t="s">
        <v>2512</v>
      </c>
      <c r="C2340" t="s">
        <v>13</v>
      </c>
      <c r="E2340" t="s">
        <v>2089</v>
      </c>
      <c r="F2340">
        <v>4932</v>
      </c>
      <c r="G2340" t="s">
        <v>325</v>
      </c>
      <c r="H2340" t="s">
        <v>16</v>
      </c>
      <c r="I2340" t="s">
        <v>657</v>
      </c>
      <c r="J2340" t="s">
        <v>658</v>
      </c>
      <c r="K2340" t="s">
        <v>1809</v>
      </c>
      <c r="L2340" t="str">
        <f>HYPERLINK("https://business-monitor.ch/de/companies/47597-gemuese-ag?utm_source=oberaargau","PROFIL ANSEHEN")</f>
        <v>PROFIL ANSEHEN</v>
      </c>
    </row>
    <row r="2341" spans="1:12" x14ac:dyDescent="0.2">
      <c r="A2341" t="s">
        <v>13437</v>
      </c>
      <c r="B2341" t="s">
        <v>13438</v>
      </c>
      <c r="C2341" t="s">
        <v>1812</v>
      </c>
      <c r="E2341" t="s">
        <v>3934</v>
      </c>
      <c r="F2341">
        <v>4900</v>
      </c>
      <c r="G2341" t="s">
        <v>41</v>
      </c>
      <c r="H2341" t="s">
        <v>16</v>
      </c>
      <c r="I2341" t="s">
        <v>4205</v>
      </c>
      <c r="J2341" t="s">
        <v>4206</v>
      </c>
      <c r="K2341" t="s">
        <v>1809</v>
      </c>
      <c r="L2341" t="str">
        <f>HYPERLINK("https://business-monitor.ch/de/companies/1237086-akel-kiosk?utm_source=oberaargau","PROFIL ANSEHEN")</f>
        <v>PROFIL ANSEHEN</v>
      </c>
    </row>
    <row r="2342" spans="1:12" x14ac:dyDescent="0.2">
      <c r="A2342" t="s">
        <v>14136</v>
      </c>
      <c r="B2342" t="s">
        <v>14137</v>
      </c>
      <c r="C2342" t="s">
        <v>202</v>
      </c>
      <c r="E2342" t="s">
        <v>14138</v>
      </c>
      <c r="F2342">
        <v>4900</v>
      </c>
      <c r="G2342" t="s">
        <v>41</v>
      </c>
      <c r="H2342" t="s">
        <v>16</v>
      </c>
      <c r="I2342" t="s">
        <v>1401</v>
      </c>
      <c r="J2342" t="s">
        <v>1402</v>
      </c>
      <c r="K2342" t="s">
        <v>1809</v>
      </c>
      <c r="L2342" t="str">
        <f>HYPERLINK("https://business-monitor.ch/de/companies/1293938-blumenladen-langenthal-gmbh?utm_source=oberaargau","PROFIL ANSEHEN")</f>
        <v>PROFIL ANSEHEN</v>
      </c>
    </row>
    <row r="2343" spans="1:12" x14ac:dyDescent="0.2">
      <c r="A2343" t="s">
        <v>2701</v>
      </c>
      <c r="B2343" t="s">
        <v>2702</v>
      </c>
      <c r="C2343" t="s">
        <v>13</v>
      </c>
      <c r="E2343" t="s">
        <v>437</v>
      </c>
      <c r="F2343">
        <v>4900</v>
      </c>
      <c r="G2343" t="s">
        <v>41</v>
      </c>
      <c r="H2343" t="s">
        <v>16</v>
      </c>
      <c r="I2343" t="s">
        <v>1396</v>
      </c>
      <c r="J2343" t="s">
        <v>1397</v>
      </c>
      <c r="K2343" t="s">
        <v>1809</v>
      </c>
      <c r="L2343" t="str">
        <f>HYPERLINK("https://business-monitor.ch/de/companies/467427-sun-valley-langenthal-ag?utm_source=oberaargau","PROFIL ANSEHEN")</f>
        <v>PROFIL ANSEHEN</v>
      </c>
    </row>
    <row r="2344" spans="1:12" x14ac:dyDescent="0.2">
      <c r="A2344" t="s">
        <v>13553</v>
      </c>
      <c r="B2344" t="s">
        <v>13554</v>
      </c>
      <c r="C2344" t="s">
        <v>1812</v>
      </c>
      <c r="E2344" t="s">
        <v>5440</v>
      </c>
      <c r="F2344">
        <v>4912</v>
      </c>
      <c r="G2344" t="s">
        <v>64</v>
      </c>
      <c r="H2344" t="s">
        <v>16</v>
      </c>
      <c r="I2344" t="s">
        <v>1491</v>
      </c>
      <c r="J2344" t="s">
        <v>1492</v>
      </c>
      <c r="K2344" t="s">
        <v>1809</v>
      </c>
      <c r="L2344" t="str">
        <f>HYPERLINK("https://business-monitor.ch/de/companies/1256850-maschinenhandel-kulms?utm_source=oberaargau","PROFIL ANSEHEN")</f>
        <v>PROFIL ANSEHEN</v>
      </c>
    </row>
    <row r="2345" spans="1:12" x14ac:dyDescent="0.2">
      <c r="A2345" t="s">
        <v>13367</v>
      </c>
      <c r="B2345" t="s">
        <v>13368</v>
      </c>
      <c r="C2345" t="s">
        <v>202</v>
      </c>
      <c r="E2345" t="s">
        <v>13369</v>
      </c>
      <c r="F2345">
        <v>4950</v>
      </c>
      <c r="G2345" t="s">
        <v>15</v>
      </c>
      <c r="H2345" t="s">
        <v>16</v>
      </c>
      <c r="I2345" t="s">
        <v>642</v>
      </c>
      <c r="J2345" t="s">
        <v>643</v>
      </c>
      <c r="K2345" t="s">
        <v>1809</v>
      </c>
      <c r="L2345" t="str">
        <f>HYPERLINK("https://business-monitor.ch/de/companies/1246822-auto-boss-gmbh?utm_source=oberaargau","PROFIL ANSEHEN")</f>
        <v>PROFIL ANSEHEN</v>
      </c>
    </row>
    <row r="2346" spans="1:12" x14ac:dyDescent="0.2">
      <c r="A2346" t="s">
        <v>7831</v>
      </c>
      <c r="B2346" t="s">
        <v>7832</v>
      </c>
      <c r="C2346" t="s">
        <v>1812</v>
      </c>
      <c r="E2346" t="s">
        <v>7606</v>
      </c>
      <c r="F2346">
        <v>4538</v>
      </c>
      <c r="G2346" t="s">
        <v>71</v>
      </c>
      <c r="H2346" t="s">
        <v>16</v>
      </c>
      <c r="I2346" t="s">
        <v>186</v>
      </c>
      <c r="J2346" t="s">
        <v>187</v>
      </c>
      <c r="K2346" t="s">
        <v>1809</v>
      </c>
      <c r="L2346" t="str">
        <f>HYPERLINK("https://business-monitor.ch/de/companies/534440-kmu-investment-edith-krenger?utm_source=oberaargau","PROFIL ANSEHEN")</f>
        <v>PROFIL ANSEHEN</v>
      </c>
    </row>
    <row r="2347" spans="1:12" x14ac:dyDescent="0.2">
      <c r="A2347" t="s">
        <v>4841</v>
      </c>
      <c r="B2347" t="s">
        <v>4842</v>
      </c>
      <c r="C2347" t="s">
        <v>1812</v>
      </c>
      <c r="E2347" t="s">
        <v>4833</v>
      </c>
      <c r="F2347">
        <v>3360</v>
      </c>
      <c r="G2347" t="s">
        <v>35</v>
      </c>
      <c r="H2347" t="s">
        <v>16</v>
      </c>
      <c r="I2347" t="s">
        <v>551</v>
      </c>
      <c r="J2347" t="s">
        <v>552</v>
      </c>
      <c r="K2347" t="s">
        <v>1809</v>
      </c>
      <c r="L2347" t="str">
        <f>HYPERLINK("https://business-monitor.ch/de/companies/542616-zenger-beratungen?utm_source=oberaargau","PROFIL ANSEHEN")</f>
        <v>PROFIL ANSEHEN</v>
      </c>
    </row>
    <row r="2348" spans="1:12" x14ac:dyDescent="0.2">
      <c r="A2348" t="s">
        <v>13086</v>
      </c>
      <c r="B2348" t="s">
        <v>13087</v>
      </c>
      <c r="C2348" t="s">
        <v>13</v>
      </c>
      <c r="E2348" t="s">
        <v>390</v>
      </c>
      <c r="F2348">
        <v>4537</v>
      </c>
      <c r="G2348" t="s">
        <v>113</v>
      </c>
      <c r="H2348" t="s">
        <v>16</v>
      </c>
      <c r="I2348" t="s">
        <v>935</v>
      </c>
      <c r="J2348" t="s">
        <v>936</v>
      </c>
      <c r="K2348" t="s">
        <v>1809</v>
      </c>
      <c r="L2348" t="str">
        <f>HYPERLINK("https://business-monitor.ch/de/companies/1235798-3x-property-ag?utm_source=oberaargau","PROFIL ANSEHEN")</f>
        <v>PROFIL ANSEHEN</v>
      </c>
    </row>
    <row r="2349" spans="1:12" x14ac:dyDescent="0.2">
      <c r="A2349" t="s">
        <v>6000</v>
      </c>
      <c r="B2349" t="s">
        <v>6001</v>
      </c>
      <c r="C2349" t="s">
        <v>13</v>
      </c>
      <c r="E2349" t="s">
        <v>3190</v>
      </c>
      <c r="F2349">
        <v>4900</v>
      </c>
      <c r="G2349" t="s">
        <v>41</v>
      </c>
      <c r="H2349" t="s">
        <v>16</v>
      </c>
      <c r="I2349" t="s">
        <v>4247</v>
      </c>
      <c r="J2349" t="s">
        <v>4248</v>
      </c>
      <c r="K2349" t="s">
        <v>1809</v>
      </c>
      <c r="L2349" t="str">
        <f>HYPERLINK("https://business-monitor.ch/de/companies/448506-gyni-ag?utm_source=oberaargau","PROFIL ANSEHEN")</f>
        <v>PROFIL ANSEHEN</v>
      </c>
    </row>
    <row r="2350" spans="1:12" x14ac:dyDescent="0.2">
      <c r="A2350" t="s">
        <v>5313</v>
      </c>
      <c r="B2350" t="s">
        <v>5314</v>
      </c>
      <c r="C2350" t="s">
        <v>13</v>
      </c>
      <c r="E2350" t="s">
        <v>5315</v>
      </c>
      <c r="F2350">
        <v>4704</v>
      </c>
      <c r="G2350" t="s">
        <v>221</v>
      </c>
      <c r="H2350" t="s">
        <v>16</v>
      </c>
      <c r="I2350" t="s">
        <v>642</v>
      </c>
      <c r="J2350" t="s">
        <v>643</v>
      </c>
      <c r="K2350" t="s">
        <v>1809</v>
      </c>
      <c r="L2350" t="str">
        <f>HYPERLINK("https://business-monitor.ch/de/companies/173626-kreuchi-auto-ag?utm_source=oberaargau","PROFIL ANSEHEN")</f>
        <v>PROFIL ANSEHEN</v>
      </c>
    </row>
    <row r="2351" spans="1:12" x14ac:dyDescent="0.2">
      <c r="A2351" t="s">
        <v>6439</v>
      </c>
      <c r="B2351" t="s">
        <v>6440</v>
      </c>
      <c r="C2351" t="s">
        <v>1812</v>
      </c>
      <c r="E2351" t="s">
        <v>6441</v>
      </c>
      <c r="F2351">
        <v>4900</v>
      </c>
      <c r="G2351" t="s">
        <v>41</v>
      </c>
      <c r="H2351" t="s">
        <v>16</v>
      </c>
      <c r="I2351" t="s">
        <v>854</v>
      </c>
      <c r="J2351" t="s">
        <v>855</v>
      </c>
      <c r="K2351" t="s">
        <v>1809</v>
      </c>
      <c r="L2351" t="str">
        <f>HYPERLINK("https://business-monitor.ch/de/companies/278269-juerg-andreas-stutz-beratung-und-entwicklung?utm_source=oberaargau","PROFIL ANSEHEN")</f>
        <v>PROFIL ANSEHEN</v>
      </c>
    </row>
    <row r="2352" spans="1:12" x14ac:dyDescent="0.2">
      <c r="A2352" t="s">
        <v>1912</v>
      </c>
      <c r="B2352" t="s">
        <v>1913</v>
      </c>
      <c r="C2352" t="s">
        <v>202</v>
      </c>
      <c r="E2352" t="s">
        <v>1914</v>
      </c>
      <c r="F2352">
        <v>4914</v>
      </c>
      <c r="G2352" t="s">
        <v>717</v>
      </c>
      <c r="H2352" t="s">
        <v>16</v>
      </c>
      <c r="I2352" t="s">
        <v>1543</v>
      </c>
      <c r="J2352" t="s">
        <v>1544</v>
      </c>
      <c r="K2352" t="s">
        <v>1809</v>
      </c>
      <c r="L2352" t="str">
        <f>HYPERLINK("https://business-monitor.ch/de/companies/278869-belpro-gmbh?utm_source=oberaargau","PROFIL ANSEHEN")</f>
        <v>PROFIL ANSEHEN</v>
      </c>
    </row>
    <row r="2353" spans="1:12" x14ac:dyDescent="0.2">
      <c r="A2353" t="s">
        <v>7791</v>
      </c>
      <c r="B2353" t="s">
        <v>7792</v>
      </c>
      <c r="C2353" t="s">
        <v>13</v>
      </c>
      <c r="E2353" t="s">
        <v>14363</v>
      </c>
      <c r="F2353">
        <v>3368</v>
      </c>
      <c r="G2353" t="s">
        <v>308</v>
      </c>
      <c r="H2353" t="s">
        <v>16</v>
      </c>
      <c r="I2353" t="s">
        <v>917</v>
      </c>
      <c r="J2353" t="s">
        <v>918</v>
      </c>
      <c r="K2353" t="s">
        <v>1809</v>
      </c>
      <c r="L2353" t="str">
        <f>HYPERLINK("https://business-monitor.ch/de/companies/551088-yce-solutions-ag?utm_source=oberaargau","PROFIL ANSEHEN")</f>
        <v>PROFIL ANSEHEN</v>
      </c>
    </row>
    <row r="2354" spans="1:12" x14ac:dyDescent="0.2">
      <c r="A2354" t="s">
        <v>10952</v>
      </c>
      <c r="B2354" t="s">
        <v>10953</v>
      </c>
      <c r="C2354" t="s">
        <v>202</v>
      </c>
      <c r="D2354" t="s">
        <v>10954</v>
      </c>
      <c r="E2354" t="s">
        <v>11077</v>
      </c>
      <c r="F2354">
        <v>4932</v>
      </c>
      <c r="G2354" t="s">
        <v>325</v>
      </c>
      <c r="H2354" t="s">
        <v>16</v>
      </c>
      <c r="I2354" t="s">
        <v>182</v>
      </c>
      <c r="J2354" t="s">
        <v>183</v>
      </c>
      <c r="K2354" t="s">
        <v>1809</v>
      </c>
      <c r="L2354" t="str">
        <f>HYPERLINK("https://business-monitor.ch/de/companies/1111973-stuco-holding-gmbh?utm_source=oberaargau","PROFIL ANSEHEN")</f>
        <v>PROFIL ANSEHEN</v>
      </c>
    </row>
    <row r="2355" spans="1:12" x14ac:dyDescent="0.2">
      <c r="A2355" t="s">
        <v>9898</v>
      </c>
      <c r="B2355" t="s">
        <v>9899</v>
      </c>
      <c r="C2355" t="s">
        <v>13</v>
      </c>
      <c r="E2355" t="s">
        <v>8701</v>
      </c>
      <c r="F2355">
        <v>3380</v>
      </c>
      <c r="G2355" t="s">
        <v>29</v>
      </c>
      <c r="H2355" t="s">
        <v>16</v>
      </c>
      <c r="I2355" t="s">
        <v>232</v>
      </c>
      <c r="J2355" t="s">
        <v>233</v>
      </c>
      <c r="K2355" t="s">
        <v>1809</v>
      </c>
      <c r="L2355" t="str">
        <f>HYPERLINK("https://business-monitor.ch/de/companies/968103-bcis-ag?utm_source=oberaargau","PROFIL ANSEHEN")</f>
        <v>PROFIL ANSEHEN</v>
      </c>
    </row>
    <row r="2356" spans="1:12" x14ac:dyDescent="0.2">
      <c r="A2356" t="s">
        <v>12862</v>
      </c>
      <c r="B2356" t="s">
        <v>12863</v>
      </c>
      <c r="C2356" t="s">
        <v>202</v>
      </c>
      <c r="E2356" t="s">
        <v>11606</v>
      </c>
      <c r="F2356">
        <v>4537</v>
      </c>
      <c r="G2356" t="s">
        <v>113</v>
      </c>
      <c r="H2356" t="s">
        <v>16</v>
      </c>
      <c r="I2356" t="s">
        <v>2440</v>
      </c>
      <c r="J2356" t="s">
        <v>2441</v>
      </c>
      <c r="K2356" t="s">
        <v>1809</v>
      </c>
      <c r="L2356" t="str">
        <f>HYPERLINK("https://business-monitor.ch/de/companies/1226909-aga-bodenbelag-gmbh?utm_source=oberaargau","PROFIL ANSEHEN")</f>
        <v>PROFIL ANSEHEN</v>
      </c>
    </row>
    <row r="2357" spans="1:12" x14ac:dyDescent="0.2">
      <c r="A2357" t="s">
        <v>14509</v>
      </c>
      <c r="B2357" t="s">
        <v>14510</v>
      </c>
      <c r="C2357" t="s">
        <v>1812</v>
      </c>
      <c r="E2357" t="s">
        <v>1341</v>
      </c>
      <c r="F2357">
        <v>4900</v>
      </c>
      <c r="G2357" t="s">
        <v>41</v>
      </c>
      <c r="H2357" t="s">
        <v>16</v>
      </c>
      <c r="I2357" t="s">
        <v>824</v>
      </c>
      <c r="J2357" t="s">
        <v>825</v>
      </c>
      <c r="K2357" t="s">
        <v>1809</v>
      </c>
      <c r="L2357" t="str">
        <f>HYPERLINK("https://business-monitor.ch/de/companies/1297859-chez-oscar-inh-riss?utm_source=oberaargau","PROFIL ANSEHEN")</f>
        <v>PROFIL ANSEHEN</v>
      </c>
    </row>
    <row r="2358" spans="1:12" x14ac:dyDescent="0.2">
      <c r="A2358" t="s">
        <v>13000</v>
      </c>
      <c r="B2358" t="s">
        <v>13001</v>
      </c>
      <c r="C2358" t="s">
        <v>202</v>
      </c>
      <c r="E2358" t="s">
        <v>10940</v>
      </c>
      <c r="F2358">
        <v>3360</v>
      </c>
      <c r="G2358" t="s">
        <v>35</v>
      </c>
      <c r="H2358" t="s">
        <v>16</v>
      </c>
      <c r="I2358" t="s">
        <v>935</v>
      </c>
      <c r="J2358" t="s">
        <v>936</v>
      </c>
      <c r="K2358" t="s">
        <v>1809</v>
      </c>
      <c r="L2358" t="str">
        <f>HYPERLINK("https://business-monitor.ch/de/companies/1228939-bonavi-gmbh?utm_source=oberaargau","PROFIL ANSEHEN")</f>
        <v>PROFIL ANSEHEN</v>
      </c>
    </row>
    <row r="2359" spans="1:12" x14ac:dyDescent="0.2">
      <c r="A2359" t="s">
        <v>4075</v>
      </c>
      <c r="B2359" t="s">
        <v>4076</v>
      </c>
      <c r="C2359" t="s">
        <v>1812</v>
      </c>
      <c r="E2359" t="s">
        <v>4077</v>
      </c>
      <c r="F2359">
        <v>3360</v>
      </c>
      <c r="G2359" t="s">
        <v>35</v>
      </c>
      <c r="H2359" t="s">
        <v>16</v>
      </c>
      <c r="I2359" t="s">
        <v>1097</v>
      </c>
      <c r="J2359" t="s">
        <v>1098</v>
      </c>
      <c r="K2359" t="s">
        <v>1809</v>
      </c>
      <c r="L2359" t="str">
        <f>HYPERLINK("https://business-monitor.ch/de/companies/1048256-rossier-online-shop?utm_source=oberaargau","PROFIL ANSEHEN")</f>
        <v>PROFIL ANSEHEN</v>
      </c>
    </row>
    <row r="2360" spans="1:12" x14ac:dyDescent="0.2">
      <c r="A2360" t="s">
        <v>8437</v>
      </c>
      <c r="B2360" t="s">
        <v>8438</v>
      </c>
      <c r="C2360" t="s">
        <v>13</v>
      </c>
      <c r="E2360" t="s">
        <v>12305</v>
      </c>
      <c r="F2360">
        <v>4537</v>
      </c>
      <c r="G2360" t="s">
        <v>113</v>
      </c>
      <c r="H2360" t="s">
        <v>16</v>
      </c>
      <c r="I2360" t="s">
        <v>1535</v>
      </c>
      <c r="J2360" t="s">
        <v>1536</v>
      </c>
      <c r="K2360" t="s">
        <v>1809</v>
      </c>
      <c r="L2360" t="str">
        <f>HYPERLINK("https://business-monitor.ch/de/companies/87092-studer-gartenbau-ag?utm_source=oberaargau","PROFIL ANSEHEN")</f>
        <v>PROFIL ANSEHEN</v>
      </c>
    </row>
    <row r="2361" spans="1:12" x14ac:dyDescent="0.2">
      <c r="A2361" t="s">
        <v>2563</v>
      </c>
      <c r="B2361" t="s">
        <v>2564</v>
      </c>
      <c r="C2361" t="s">
        <v>202</v>
      </c>
      <c r="E2361" t="s">
        <v>2565</v>
      </c>
      <c r="F2361">
        <v>4900</v>
      </c>
      <c r="G2361" t="s">
        <v>41</v>
      </c>
      <c r="H2361" t="s">
        <v>16</v>
      </c>
      <c r="I2361" t="s">
        <v>551</v>
      </c>
      <c r="J2361" t="s">
        <v>552</v>
      </c>
      <c r="K2361" t="s">
        <v>1809</v>
      </c>
      <c r="L2361" t="str">
        <f>HYPERLINK("https://business-monitor.ch/de/companies/513027-rd-management-und-consulting-gmbh?utm_source=oberaargau","PROFIL ANSEHEN")</f>
        <v>PROFIL ANSEHEN</v>
      </c>
    </row>
    <row r="2362" spans="1:12" x14ac:dyDescent="0.2">
      <c r="A2362" t="s">
        <v>4864</v>
      </c>
      <c r="B2362" t="s">
        <v>4865</v>
      </c>
      <c r="C2362" t="s">
        <v>1827</v>
      </c>
      <c r="E2362" t="s">
        <v>4866</v>
      </c>
      <c r="F2362">
        <v>3365</v>
      </c>
      <c r="G2362" t="s">
        <v>1008</v>
      </c>
      <c r="H2362" t="s">
        <v>16</v>
      </c>
      <c r="I2362" t="s">
        <v>1140</v>
      </c>
      <c r="J2362" t="s">
        <v>1141</v>
      </c>
      <c r="K2362" t="s">
        <v>1809</v>
      </c>
      <c r="L2362" t="str">
        <f>HYPERLINK("https://business-monitor.ch/de/companies/534133-kingcase-gerber-co?utm_source=oberaargau","PROFIL ANSEHEN")</f>
        <v>PROFIL ANSEHEN</v>
      </c>
    </row>
    <row r="2363" spans="1:12" x14ac:dyDescent="0.2">
      <c r="A2363" t="s">
        <v>13005</v>
      </c>
      <c r="B2363" t="s">
        <v>13006</v>
      </c>
      <c r="C2363" t="s">
        <v>1922</v>
      </c>
      <c r="D2363" t="s">
        <v>13007</v>
      </c>
      <c r="E2363" t="s">
        <v>13008</v>
      </c>
      <c r="F2363">
        <v>3360</v>
      </c>
      <c r="G2363" t="s">
        <v>35</v>
      </c>
      <c r="H2363" t="s">
        <v>16</v>
      </c>
      <c r="I2363" t="s">
        <v>3272</v>
      </c>
      <c r="J2363" t="s">
        <v>3273</v>
      </c>
      <c r="K2363" t="s">
        <v>1809</v>
      </c>
      <c r="L2363" t="str">
        <f>HYPERLINK("https://business-monitor.ch/de/companies/972131-stiftung-sri-sampradaya?utm_source=oberaargau","PROFIL ANSEHEN")</f>
        <v>PROFIL ANSEHEN</v>
      </c>
    </row>
    <row r="2364" spans="1:12" x14ac:dyDescent="0.2">
      <c r="A2364" t="s">
        <v>10140</v>
      </c>
      <c r="B2364" t="s">
        <v>10141</v>
      </c>
      <c r="C2364" t="s">
        <v>202</v>
      </c>
      <c r="E2364" t="s">
        <v>7930</v>
      </c>
      <c r="F2364">
        <v>4923</v>
      </c>
      <c r="G2364" t="s">
        <v>732</v>
      </c>
      <c r="H2364" t="s">
        <v>16</v>
      </c>
      <c r="I2364" t="s">
        <v>1470</v>
      </c>
      <c r="J2364" t="s">
        <v>1471</v>
      </c>
      <c r="K2364" t="s">
        <v>1809</v>
      </c>
      <c r="L2364" t="str">
        <f>HYPERLINK("https://business-monitor.ch/de/companies/655701-sk-haustechnik-gmbh?utm_source=oberaargau","PROFIL ANSEHEN")</f>
        <v>PROFIL ANSEHEN</v>
      </c>
    </row>
    <row r="2365" spans="1:12" x14ac:dyDescent="0.2">
      <c r="A2365" t="s">
        <v>11526</v>
      </c>
      <c r="B2365" t="s">
        <v>11527</v>
      </c>
      <c r="C2365" t="s">
        <v>202</v>
      </c>
      <c r="E2365" t="s">
        <v>533</v>
      </c>
      <c r="F2365">
        <v>3367</v>
      </c>
      <c r="G2365" t="s">
        <v>455</v>
      </c>
      <c r="H2365" t="s">
        <v>16</v>
      </c>
      <c r="I2365" t="s">
        <v>304</v>
      </c>
      <c r="J2365" t="s">
        <v>305</v>
      </c>
      <c r="K2365" t="s">
        <v>1809</v>
      </c>
      <c r="L2365" t="str">
        <f>HYPERLINK("https://business-monitor.ch/de/companies/1148069-jg-solartech-gmbh?utm_source=oberaargau","PROFIL ANSEHEN")</f>
        <v>PROFIL ANSEHEN</v>
      </c>
    </row>
    <row r="2366" spans="1:12" x14ac:dyDescent="0.2">
      <c r="A2366" t="s">
        <v>14008</v>
      </c>
      <c r="B2366" t="s">
        <v>14009</v>
      </c>
      <c r="C2366" t="s">
        <v>1812</v>
      </c>
      <c r="E2366" t="s">
        <v>14010</v>
      </c>
      <c r="F2366">
        <v>4934</v>
      </c>
      <c r="G2366" t="s">
        <v>670</v>
      </c>
      <c r="H2366" t="s">
        <v>16</v>
      </c>
      <c r="I2366" t="s">
        <v>854</v>
      </c>
      <c r="J2366" t="s">
        <v>855</v>
      </c>
      <c r="K2366" t="s">
        <v>1809</v>
      </c>
      <c r="L2366" t="str">
        <f>HYPERLINK("https://business-monitor.ch/de/companies/1276272-samuel-marti?utm_source=oberaargau","PROFIL ANSEHEN")</f>
        <v>PROFIL ANSEHEN</v>
      </c>
    </row>
    <row r="2367" spans="1:12" x14ac:dyDescent="0.2">
      <c r="A2367" t="s">
        <v>13138</v>
      </c>
      <c r="B2367" t="s">
        <v>13139</v>
      </c>
      <c r="C2367" t="s">
        <v>202</v>
      </c>
      <c r="E2367" t="s">
        <v>13140</v>
      </c>
      <c r="F2367">
        <v>4704</v>
      </c>
      <c r="G2367" t="s">
        <v>221</v>
      </c>
      <c r="H2367" t="s">
        <v>16</v>
      </c>
      <c r="I2367" t="s">
        <v>48</v>
      </c>
      <c r="J2367" t="s">
        <v>49</v>
      </c>
      <c r="K2367" t="s">
        <v>1809</v>
      </c>
      <c r="L2367" t="str">
        <f>HYPERLINK("https://business-monitor.ch/de/companies/1025472-get-inox-gmbh?utm_source=oberaargau","PROFIL ANSEHEN")</f>
        <v>PROFIL ANSEHEN</v>
      </c>
    </row>
    <row r="2368" spans="1:12" x14ac:dyDescent="0.2">
      <c r="A2368" t="s">
        <v>6224</v>
      </c>
      <c r="B2368" t="s">
        <v>6225</v>
      </c>
      <c r="C2368" t="s">
        <v>202</v>
      </c>
      <c r="E2368" t="s">
        <v>6226</v>
      </c>
      <c r="F2368">
        <v>4537</v>
      </c>
      <c r="G2368" t="s">
        <v>113</v>
      </c>
      <c r="H2368" t="s">
        <v>16</v>
      </c>
      <c r="I2368" t="s">
        <v>1535</v>
      </c>
      <c r="J2368" t="s">
        <v>1536</v>
      </c>
      <c r="K2368" t="s">
        <v>1809</v>
      </c>
      <c r="L2368" t="str">
        <f>HYPERLINK("https://business-monitor.ch/de/companies/362092-top-green-gmbh?utm_source=oberaargau","PROFIL ANSEHEN")</f>
        <v>PROFIL ANSEHEN</v>
      </c>
    </row>
    <row r="2369" spans="1:12" x14ac:dyDescent="0.2">
      <c r="A2369" t="s">
        <v>4817</v>
      </c>
      <c r="B2369" t="s">
        <v>4818</v>
      </c>
      <c r="C2369" t="s">
        <v>1812</v>
      </c>
      <c r="E2369" t="s">
        <v>4819</v>
      </c>
      <c r="F2369">
        <v>4537</v>
      </c>
      <c r="G2369" t="s">
        <v>113</v>
      </c>
      <c r="H2369" t="s">
        <v>16</v>
      </c>
      <c r="I2369" t="s">
        <v>824</v>
      </c>
      <c r="J2369" t="s">
        <v>825</v>
      </c>
      <c r="K2369" t="s">
        <v>1809</v>
      </c>
      <c r="L2369" t="str">
        <f>HYPERLINK("https://business-monitor.ch/de/companies/547383-etter-gastro?utm_source=oberaargau","PROFIL ANSEHEN")</f>
        <v>PROFIL ANSEHEN</v>
      </c>
    </row>
    <row r="2370" spans="1:12" x14ac:dyDescent="0.2">
      <c r="A2370" t="s">
        <v>8027</v>
      </c>
      <c r="B2370" t="s">
        <v>8028</v>
      </c>
      <c r="C2370" t="s">
        <v>1812</v>
      </c>
      <c r="E2370" t="s">
        <v>8029</v>
      </c>
      <c r="F2370">
        <v>4938</v>
      </c>
      <c r="G2370" t="s">
        <v>618</v>
      </c>
      <c r="H2370" t="s">
        <v>16</v>
      </c>
      <c r="I2370" t="s">
        <v>1945</v>
      </c>
      <c r="J2370" t="s">
        <v>1946</v>
      </c>
      <c r="K2370" t="s">
        <v>1809</v>
      </c>
      <c r="L2370" t="str">
        <f>HYPERLINK("https://business-monitor.ch/de/companies/991501-ganzheitliche-bestatterin-karin-mathys-flueckiger?utm_source=oberaargau","PROFIL ANSEHEN")</f>
        <v>PROFIL ANSEHEN</v>
      </c>
    </row>
    <row r="2371" spans="1:12" x14ac:dyDescent="0.2">
      <c r="A2371" t="s">
        <v>11778</v>
      </c>
      <c r="B2371" t="s">
        <v>11779</v>
      </c>
      <c r="C2371" t="s">
        <v>202</v>
      </c>
      <c r="E2371" t="s">
        <v>5878</v>
      </c>
      <c r="F2371">
        <v>4704</v>
      </c>
      <c r="G2371" t="s">
        <v>221</v>
      </c>
      <c r="H2371" t="s">
        <v>16</v>
      </c>
      <c r="I2371" t="s">
        <v>464</v>
      </c>
      <c r="J2371" t="s">
        <v>465</v>
      </c>
      <c r="K2371" t="s">
        <v>1809</v>
      </c>
      <c r="L2371" t="str">
        <f>HYPERLINK("https://business-monitor.ch/de/companies/334984-lg-transporte-gmbh?utm_source=oberaargau","PROFIL ANSEHEN")</f>
        <v>PROFIL ANSEHEN</v>
      </c>
    </row>
    <row r="2372" spans="1:12" x14ac:dyDescent="0.2">
      <c r="A2372" t="s">
        <v>10268</v>
      </c>
      <c r="B2372" t="s">
        <v>10269</v>
      </c>
      <c r="C2372" t="s">
        <v>1812</v>
      </c>
      <c r="E2372" t="s">
        <v>10270</v>
      </c>
      <c r="F2372">
        <v>4900</v>
      </c>
      <c r="G2372" t="s">
        <v>41</v>
      </c>
      <c r="H2372" t="s">
        <v>16</v>
      </c>
      <c r="I2372" t="s">
        <v>3864</v>
      </c>
      <c r="J2372" t="s">
        <v>3865</v>
      </c>
      <c r="K2372" t="s">
        <v>1809</v>
      </c>
      <c r="L2372" t="str">
        <f>HYPERLINK("https://business-monitor.ch/de/companies/586378-brimadesign-brigitte-mathys?utm_source=oberaargau","PROFIL ANSEHEN")</f>
        <v>PROFIL ANSEHEN</v>
      </c>
    </row>
    <row r="2373" spans="1:12" x14ac:dyDescent="0.2">
      <c r="A2373" t="s">
        <v>7739</v>
      </c>
      <c r="B2373" t="s">
        <v>7740</v>
      </c>
      <c r="C2373" t="s">
        <v>202</v>
      </c>
      <c r="E2373" t="s">
        <v>3414</v>
      </c>
      <c r="F2373">
        <v>4900</v>
      </c>
      <c r="G2373" t="s">
        <v>41</v>
      </c>
      <c r="H2373" t="s">
        <v>16</v>
      </c>
      <c r="I2373" t="s">
        <v>940</v>
      </c>
      <c r="J2373" t="s">
        <v>941</v>
      </c>
      <c r="K2373" t="s">
        <v>1809</v>
      </c>
      <c r="L2373" t="str">
        <f>HYPERLINK("https://business-monitor.ch/de/companies/587765-bar55-gmbh?utm_source=oberaargau","PROFIL ANSEHEN")</f>
        <v>PROFIL ANSEHEN</v>
      </c>
    </row>
    <row r="2374" spans="1:12" x14ac:dyDescent="0.2">
      <c r="A2374" t="s">
        <v>12686</v>
      </c>
      <c r="B2374" t="s">
        <v>12687</v>
      </c>
      <c r="C2374" t="s">
        <v>1812</v>
      </c>
      <c r="E2374" t="s">
        <v>12688</v>
      </c>
      <c r="F2374">
        <v>4900</v>
      </c>
      <c r="G2374" t="s">
        <v>41</v>
      </c>
      <c r="H2374" t="s">
        <v>16</v>
      </c>
      <c r="I2374" t="s">
        <v>551</v>
      </c>
      <c r="J2374" t="s">
        <v>552</v>
      </c>
      <c r="K2374" t="s">
        <v>1809</v>
      </c>
      <c r="L2374" t="str">
        <f>HYPERLINK("https://business-monitor.ch/de/companies/1210342-lars-lanz-organisationsberatung-coaching-consulting?utm_source=oberaargau","PROFIL ANSEHEN")</f>
        <v>PROFIL ANSEHEN</v>
      </c>
    </row>
    <row r="2375" spans="1:12" x14ac:dyDescent="0.2">
      <c r="A2375" t="s">
        <v>6449</v>
      </c>
      <c r="B2375" t="s">
        <v>6450</v>
      </c>
      <c r="C2375" t="s">
        <v>202</v>
      </c>
      <c r="E2375" t="s">
        <v>4507</v>
      </c>
      <c r="F2375">
        <v>4900</v>
      </c>
      <c r="G2375" t="s">
        <v>41</v>
      </c>
      <c r="H2375" t="s">
        <v>16</v>
      </c>
      <c r="I2375" t="s">
        <v>906</v>
      </c>
      <c r="J2375" t="s">
        <v>907</v>
      </c>
      <c r="K2375" t="s">
        <v>1809</v>
      </c>
      <c r="L2375" t="str">
        <f>HYPERLINK("https://business-monitor.ch/de/companies/273626-eso-zentrum-gmbh?utm_source=oberaargau","PROFIL ANSEHEN")</f>
        <v>PROFIL ANSEHEN</v>
      </c>
    </row>
    <row r="2376" spans="1:12" x14ac:dyDescent="0.2">
      <c r="A2376" t="s">
        <v>12439</v>
      </c>
      <c r="B2376" t="s">
        <v>12440</v>
      </c>
      <c r="C2376" t="s">
        <v>202</v>
      </c>
      <c r="E2376" t="s">
        <v>12441</v>
      </c>
      <c r="F2376">
        <v>4954</v>
      </c>
      <c r="G2376" t="s">
        <v>359</v>
      </c>
      <c r="H2376" t="s">
        <v>16</v>
      </c>
      <c r="I2376" t="s">
        <v>679</v>
      </c>
      <c r="J2376" t="s">
        <v>680</v>
      </c>
      <c r="K2376" t="s">
        <v>1809</v>
      </c>
      <c r="L2376" t="str">
        <f>HYPERLINK("https://business-monitor.ch/de/companies/1201036-steffen-schreinerei-gmbh?utm_source=oberaargau","PROFIL ANSEHEN")</f>
        <v>PROFIL ANSEHEN</v>
      </c>
    </row>
    <row r="2377" spans="1:12" x14ac:dyDescent="0.2">
      <c r="A2377" t="s">
        <v>4712</v>
      </c>
      <c r="B2377" t="s">
        <v>4713</v>
      </c>
      <c r="C2377" t="s">
        <v>202</v>
      </c>
      <c r="E2377" t="s">
        <v>4714</v>
      </c>
      <c r="F2377">
        <v>4900</v>
      </c>
      <c r="G2377" t="s">
        <v>41</v>
      </c>
      <c r="H2377" t="s">
        <v>16</v>
      </c>
      <c r="I2377" t="s">
        <v>157</v>
      </c>
      <c r="J2377" t="s">
        <v>158</v>
      </c>
      <c r="K2377" t="s">
        <v>1809</v>
      </c>
      <c r="L2377" t="str">
        <f>HYPERLINK("https://business-monitor.ch/de/companies/592498-glur-verwaltungen-gmbh?utm_source=oberaargau","PROFIL ANSEHEN")</f>
        <v>PROFIL ANSEHEN</v>
      </c>
    </row>
    <row r="2378" spans="1:12" x14ac:dyDescent="0.2">
      <c r="A2378" t="s">
        <v>4757</v>
      </c>
      <c r="B2378" t="s">
        <v>4758</v>
      </c>
      <c r="C2378" t="s">
        <v>1812</v>
      </c>
      <c r="E2378" t="s">
        <v>4759</v>
      </c>
      <c r="F2378">
        <v>3363</v>
      </c>
      <c r="G2378" t="s">
        <v>1367</v>
      </c>
      <c r="H2378" t="s">
        <v>16</v>
      </c>
      <c r="I2378" t="s">
        <v>1841</v>
      </c>
      <c r="J2378" t="s">
        <v>1842</v>
      </c>
      <c r="K2378" t="s">
        <v>1809</v>
      </c>
      <c r="L2378" t="str">
        <f>HYPERLINK("https://business-monitor.ch/de/companies/573577-gesundheits-und-entspannungspraxis-beat-amherd?utm_source=oberaargau","PROFIL ANSEHEN")</f>
        <v>PROFIL ANSEHEN</v>
      </c>
    </row>
    <row r="2379" spans="1:12" x14ac:dyDescent="0.2">
      <c r="A2379" t="s">
        <v>5669</v>
      </c>
      <c r="B2379" t="s">
        <v>5670</v>
      </c>
      <c r="C2379" t="s">
        <v>1812</v>
      </c>
      <c r="E2379" t="s">
        <v>5671</v>
      </c>
      <c r="F2379">
        <v>4537</v>
      </c>
      <c r="G2379" t="s">
        <v>113</v>
      </c>
      <c r="H2379" t="s">
        <v>16</v>
      </c>
      <c r="I2379" t="s">
        <v>1446</v>
      </c>
      <c r="J2379" t="s">
        <v>1447</v>
      </c>
      <c r="K2379" t="s">
        <v>1809</v>
      </c>
      <c r="L2379" t="str">
        <f>HYPERLINK("https://business-monitor.ch/de/companies/225301-knuchel-markus-spenglerei-sanitaer?utm_source=oberaargau","PROFIL ANSEHEN")</f>
        <v>PROFIL ANSEHEN</v>
      </c>
    </row>
    <row r="2380" spans="1:12" x14ac:dyDescent="0.2">
      <c r="A2380" t="s">
        <v>2419</v>
      </c>
      <c r="B2380" t="s">
        <v>2420</v>
      </c>
      <c r="C2380" t="s">
        <v>84</v>
      </c>
      <c r="E2380" t="s">
        <v>13992</v>
      </c>
      <c r="F2380">
        <v>4537</v>
      </c>
      <c r="G2380" t="s">
        <v>113</v>
      </c>
      <c r="H2380" t="s">
        <v>16</v>
      </c>
      <c r="I2380" t="s">
        <v>2397</v>
      </c>
      <c r="J2380" t="s">
        <v>2398</v>
      </c>
      <c r="K2380" t="s">
        <v>1809</v>
      </c>
      <c r="L2380" t="str">
        <f>HYPERLINK("https://business-monitor.ch/de/companies/87062-immobiliengenossenschaft-oberaargau?utm_source=oberaargau","PROFIL ANSEHEN")</f>
        <v>PROFIL ANSEHEN</v>
      </c>
    </row>
    <row r="2381" spans="1:12" x14ac:dyDescent="0.2">
      <c r="A2381" t="s">
        <v>12959</v>
      </c>
      <c r="B2381" t="s">
        <v>12960</v>
      </c>
      <c r="C2381" t="s">
        <v>13</v>
      </c>
      <c r="E2381" t="s">
        <v>1167</v>
      </c>
      <c r="F2381">
        <v>4900</v>
      </c>
      <c r="G2381" t="s">
        <v>41</v>
      </c>
      <c r="H2381" t="s">
        <v>16</v>
      </c>
      <c r="I2381" t="s">
        <v>182</v>
      </c>
      <c r="J2381" t="s">
        <v>183</v>
      </c>
      <c r="K2381" t="s">
        <v>1809</v>
      </c>
      <c r="L2381" t="str">
        <f>HYPERLINK("https://business-monitor.ch/de/companies/1229979-frm-holding-ag?utm_source=oberaargau","PROFIL ANSEHEN")</f>
        <v>PROFIL ANSEHEN</v>
      </c>
    </row>
    <row r="2382" spans="1:12" x14ac:dyDescent="0.2">
      <c r="A2382" t="s">
        <v>14230</v>
      </c>
      <c r="B2382" t="s">
        <v>14231</v>
      </c>
      <c r="C2382" t="s">
        <v>1812</v>
      </c>
      <c r="E2382" t="s">
        <v>3058</v>
      </c>
      <c r="F2382">
        <v>4914</v>
      </c>
      <c r="G2382" t="s">
        <v>105</v>
      </c>
      <c r="H2382" t="s">
        <v>16</v>
      </c>
      <c r="I2382" t="s">
        <v>1017</v>
      </c>
      <c r="J2382" t="s">
        <v>1018</v>
      </c>
      <c r="K2382" t="s">
        <v>1809</v>
      </c>
      <c r="L2382" t="str">
        <f>HYPERLINK("https://business-monitor.ch/de/companies/1284122-auktionshaus-galerie-senn-inh-birchler?utm_source=oberaargau","PROFIL ANSEHEN")</f>
        <v>PROFIL ANSEHEN</v>
      </c>
    </row>
    <row r="2383" spans="1:12" x14ac:dyDescent="0.2">
      <c r="A2383" t="s">
        <v>8903</v>
      </c>
      <c r="B2383" t="s">
        <v>8904</v>
      </c>
      <c r="C2383" t="s">
        <v>1812</v>
      </c>
      <c r="E2383" t="s">
        <v>8905</v>
      </c>
      <c r="F2383">
        <v>3380</v>
      </c>
      <c r="G2383" t="s">
        <v>8906</v>
      </c>
      <c r="H2383" t="s">
        <v>16</v>
      </c>
      <c r="I2383" t="s">
        <v>1097</v>
      </c>
      <c r="J2383" t="s">
        <v>1098</v>
      </c>
      <c r="K2383" t="s">
        <v>1809</v>
      </c>
      <c r="L2383" t="str">
        <f>HYPERLINK("https://business-monitor.ch/de/companies/290857-indostore-ch-senti?utm_source=oberaargau","PROFIL ANSEHEN")</f>
        <v>PROFIL ANSEHEN</v>
      </c>
    </row>
    <row r="2384" spans="1:12" x14ac:dyDescent="0.2">
      <c r="A2384" t="s">
        <v>8239</v>
      </c>
      <c r="B2384" t="s">
        <v>8240</v>
      </c>
      <c r="C2384" t="s">
        <v>1922</v>
      </c>
      <c r="E2384" t="s">
        <v>8241</v>
      </c>
      <c r="F2384">
        <v>4900</v>
      </c>
      <c r="G2384" t="s">
        <v>41</v>
      </c>
      <c r="H2384" t="s">
        <v>16</v>
      </c>
      <c r="I2384" t="s">
        <v>8242</v>
      </c>
      <c r="J2384" t="s">
        <v>8243</v>
      </c>
      <c r="K2384" t="s">
        <v>1809</v>
      </c>
      <c r="L2384" t="str">
        <f>HYPERLINK("https://business-monitor.ch/de/companies/170949-heilpaedagogische-schule-oberaargau?utm_source=oberaargau","PROFIL ANSEHEN")</f>
        <v>PROFIL ANSEHEN</v>
      </c>
    </row>
    <row r="2385" spans="1:12" x14ac:dyDescent="0.2">
      <c r="A2385" t="s">
        <v>3498</v>
      </c>
      <c r="B2385" t="s">
        <v>3499</v>
      </c>
      <c r="C2385" t="s">
        <v>1812</v>
      </c>
      <c r="E2385" t="s">
        <v>3500</v>
      </c>
      <c r="F2385">
        <v>3363</v>
      </c>
      <c r="G2385" t="s">
        <v>1367</v>
      </c>
      <c r="H2385" t="s">
        <v>16</v>
      </c>
      <c r="I2385" t="s">
        <v>289</v>
      </c>
      <c r="J2385" t="s">
        <v>290</v>
      </c>
      <c r="K2385" t="s">
        <v>1809</v>
      </c>
      <c r="L2385" t="str">
        <f>HYPERLINK("https://business-monitor.ch/de/companies/163356-rufibach-fugendichtungen-inhaber-r-haenni?utm_source=oberaargau","PROFIL ANSEHEN")</f>
        <v>PROFIL ANSEHEN</v>
      </c>
    </row>
    <row r="2386" spans="1:12" x14ac:dyDescent="0.2">
      <c r="A2386" t="s">
        <v>10850</v>
      </c>
      <c r="B2386" t="s">
        <v>10851</v>
      </c>
      <c r="C2386" t="s">
        <v>202</v>
      </c>
      <c r="E2386" t="s">
        <v>3294</v>
      </c>
      <c r="F2386">
        <v>3360</v>
      </c>
      <c r="G2386" t="s">
        <v>35</v>
      </c>
      <c r="H2386" t="s">
        <v>16</v>
      </c>
      <c r="I2386" t="s">
        <v>2062</v>
      </c>
      <c r="J2386" t="s">
        <v>2063</v>
      </c>
      <c r="K2386" t="s">
        <v>1809</v>
      </c>
      <c r="L2386" t="str">
        <f>HYPERLINK("https://business-monitor.ch/de/companies/1109246-vevek-gmbh?utm_source=oberaargau","PROFIL ANSEHEN")</f>
        <v>PROFIL ANSEHEN</v>
      </c>
    </row>
    <row r="2387" spans="1:12" x14ac:dyDescent="0.2">
      <c r="A2387" t="s">
        <v>7850</v>
      </c>
      <c r="B2387" t="s">
        <v>7851</v>
      </c>
      <c r="C2387" t="s">
        <v>1812</v>
      </c>
      <c r="E2387" t="s">
        <v>1146</v>
      </c>
      <c r="F2387">
        <v>3360</v>
      </c>
      <c r="G2387" t="s">
        <v>35</v>
      </c>
      <c r="H2387" t="s">
        <v>16</v>
      </c>
      <c r="I2387" t="s">
        <v>4940</v>
      </c>
      <c r="J2387" t="s">
        <v>4941</v>
      </c>
      <c r="K2387" t="s">
        <v>1809</v>
      </c>
      <c r="L2387" t="str">
        <f>HYPERLINK("https://business-monitor.ch/de/companies/1095078-psychologische-beratung-8same-schritte-andrea-gnaegi?utm_source=oberaargau","PROFIL ANSEHEN")</f>
        <v>PROFIL ANSEHEN</v>
      </c>
    </row>
    <row r="2388" spans="1:12" x14ac:dyDescent="0.2">
      <c r="A2388" t="s">
        <v>3937</v>
      </c>
      <c r="B2388" t="s">
        <v>3938</v>
      </c>
      <c r="C2388" t="s">
        <v>202</v>
      </c>
      <c r="E2388" t="s">
        <v>3939</v>
      </c>
      <c r="F2388">
        <v>3380</v>
      </c>
      <c r="G2388" t="s">
        <v>29</v>
      </c>
      <c r="H2388" t="s">
        <v>16</v>
      </c>
      <c r="I2388" t="s">
        <v>854</v>
      </c>
      <c r="J2388" t="s">
        <v>855</v>
      </c>
      <c r="K2388" t="s">
        <v>1809</v>
      </c>
      <c r="L2388" t="str">
        <f>HYPERLINK("https://business-monitor.ch/de/companies/595802-mz-softwaretechnik-gmbh?utm_source=oberaargau","PROFIL ANSEHEN")</f>
        <v>PROFIL ANSEHEN</v>
      </c>
    </row>
    <row r="2389" spans="1:12" x14ac:dyDescent="0.2">
      <c r="A2389" t="s">
        <v>12833</v>
      </c>
      <c r="B2389" t="s">
        <v>12834</v>
      </c>
      <c r="C2389" t="s">
        <v>1812</v>
      </c>
      <c r="E2389" t="s">
        <v>12835</v>
      </c>
      <c r="F2389">
        <v>4938</v>
      </c>
      <c r="G2389" t="s">
        <v>618</v>
      </c>
      <c r="H2389" t="s">
        <v>16</v>
      </c>
      <c r="I2389" t="s">
        <v>2050</v>
      </c>
      <c r="J2389" t="s">
        <v>2051</v>
      </c>
      <c r="K2389" t="s">
        <v>1809</v>
      </c>
      <c r="L2389" t="str">
        <f>HYPERLINK("https://business-monitor.ch/de/companies/1225876-einrichtungsschlosserei-luethi?utm_source=oberaargau","PROFIL ANSEHEN")</f>
        <v>PROFIL ANSEHEN</v>
      </c>
    </row>
    <row r="2390" spans="1:12" x14ac:dyDescent="0.2">
      <c r="A2390" t="s">
        <v>7536</v>
      </c>
      <c r="B2390" t="s">
        <v>7537</v>
      </c>
      <c r="C2390" t="s">
        <v>202</v>
      </c>
      <c r="E2390" t="s">
        <v>7538</v>
      </c>
      <c r="F2390">
        <v>4537</v>
      </c>
      <c r="G2390" t="s">
        <v>113</v>
      </c>
      <c r="H2390" t="s">
        <v>16</v>
      </c>
      <c r="I2390" t="s">
        <v>854</v>
      </c>
      <c r="J2390" t="s">
        <v>855</v>
      </c>
      <c r="K2390" t="s">
        <v>1809</v>
      </c>
      <c r="L2390" t="str">
        <f>HYPERLINK("https://business-monitor.ch/de/companies/703109-dubious-machines-gmbh?utm_source=oberaargau","PROFIL ANSEHEN")</f>
        <v>PROFIL ANSEHEN</v>
      </c>
    </row>
    <row r="2391" spans="1:12" x14ac:dyDescent="0.2">
      <c r="A2391" t="s">
        <v>2814</v>
      </c>
      <c r="B2391" t="s">
        <v>2815</v>
      </c>
      <c r="C2391" t="s">
        <v>1812</v>
      </c>
      <c r="E2391" t="s">
        <v>2816</v>
      </c>
      <c r="F2391">
        <v>4900</v>
      </c>
      <c r="G2391" t="s">
        <v>41</v>
      </c>
      <c r="H2391" t="s">
        <v>16</v>
      </c>
      <c r="I2391" t="s">
        <v>824</v>
      </c>
      <c r="J2391" t="s">
        <v>825</v>
      </c>
      <c r="K2391" t="s">
        <v>1809</v>
      </c>
      <c r="L2391" t="str">
        <f>HYPERLINK("https://business-monitor.ch/de/companies/425121-indian-restaurant-singh?utm_source=oberaargau","PROFIL ANSEHEN")</f>
        <v>PROFIL ANSEHEN</v>
      </c>
    </row>
    <row r="2392" spans="1:12" x14ac:dyDescent="0.2">
      <c r="A2392" t="s">
        <v>11865</v>
      </c>
      <c r="B2392" t="s">
        <v>11866</v>
      </c>
      <c r="C2392" t="s">
        <v>202</v>
      </c>
      <c r="D2392" t="s">
        <v>11648</v>
      </c>
      <c r="E2392" t="s">
        <v>9493</v>
      </c>
      <c r="F2392">
        <v>4912</v>
      </c>
      <c r="G2392" t="s">
        <v>64</v>
      </c>
      <c r="H2392" t="s">
        <v>16</v>
      </c>
      <c r="I2392" t="s">
        <v>134</v>
      </c>
      <c r="J2392" t="s">
        <v>135</v>
      </c>
      <c r="K2392" t="s">
        <v>1809</v>
      </c>
      <c r="L2392" t="str">
        <f>HYPERLINK("https://business-monitor.ch/de/companies/1173344-mic-solar-montagen-gmbh?utm_source=oberaargau","PROFIL ANSEHEN")</f>
        <v>PROFIL ANSEHEN</v>
      </c>
    </row>
    <row r="2393" spans="1:12" x14ac:dyDescent="0.2">
      <c r="A2393" t="s">
        <v>2885</v>
      </c>
      <c r="B2393" t="s">
        <v>2886</v>
      </c>
      <c r="C2393" t="s">
        <v>13</v>
      </c>
      <c r="D2393" t="s">
        <v>2887</v>
      </c>
      <c r="E2393" t="s">
        <v>14363</v>
      </c>
      <c r="F2393">
        <v>3368</v>
      </c>
      <c r="G2393" t="s">
        <v>308</v>
      </c>
      <c r="H2393" t="s">
        <v>16</v>
      </c>
      <c r="I2393" t="s">
        <v>153</v>
      </c>
      <c r="J2393" t="s">
        <v>154</v>
      </c>
      <c r="K2393" t="s">
        <v>1809</v>
      </c>
      <c r="L2393" t="str">
        <f>HYPERLINK("https://business-monitor.ch/de/companies/405214-di-projekt-ag?utm_source=oberaargau","PROFIL ANSEHEN")</f>
        <v>PROFIL ANSEHEN</v>
      </c>
    </row>
    <row r="2394" spans="1:12" x14ac:dyDescent="0.2">
      <c r="A2394" t="s">
        <v>11542</v>
      </c>
      <c r="B2394" t="s">
        <v>12032</v>
      </c>
      <c r="C2394" t="s">
        <v>202</v>
      </c>
      <c r="E2394" t="s">
        <v>11543</v>
      </c>
      <c r="F2394">
        <v>4704</v>
      </c>
      <c r="G2394" t="s">
        <v>221</v>
      </c>
      <c r="H2394" t="s">
        <v>16</v>
      </c>
      <c r="I2394" t="s">
        <v>167</v>
      </c>
      <c r="J2394" t="s">
        <v>168</v>
      </c>
      <c r="K2394" t="s">
        <v>1809</v>
      </c>
      <c r="L2394" t="str">
        <f>HYPERLINK("https://business-monitor.ch/de/companies/998841-fischer-gu-gmbh?utm_source=oberaargau","PROFIL ANSEHEN")</f>
        <v>PROFIL ANSEHEN</v>
      </c>
    </row>
    <row r="2395" spans="1:12" x14ac:dyDescent="0.2">
      <c r="A2395" t="s">
        <v>13316</v>
      </c>
      <c r="B2395" t="s">
        <v>13317</v>
      </c>
      <c r="C2395" t="s">
        <v>202</v>
      </c>
      <c r="E2395" t="s">
        <v>13318</v>
      </c>
      <c r="F2395">
        <v>4938</v>
      </c>
      <c r="G2395" t="s">
        <v>618</v>
      </c>
      <c r="H2395" t="s">
        <v>16</v>
      </c>
      <c r="I2395" t="s">
        <v>662</v>
      </c>
      <c r="J2395" t="s">
        <v>663</v>
      </c>
      <c r="K2395" t="s">
        <v>1809</v>
      </c>
      <c r="L2395" t="str">
        <f>HYPERLINK("https://business-monitor.ch/de/companies/1247421-lsn-bedachungen-gmbh?utm_source=oberaargau","PROFIL ANSEHEN")</f>
        <v>PROFIL ANSEHEN</v>
      </c>
    </row>
    <row r="2396" spans="1:12" x14ac:dyDescent="0.2">
      <c r="A2396" t="s">
        <v>13627</v>
      </c>
      <c r="B2396" t="s">
        <v>13628</v>
      </c>
      <c r="C2396" t="s">
        <v>13</v>
      </c>
      <c r="E2396" t="s">
        <v>880</v>
      </c>
      <c r="F2396">
        <v>3368</v>
      </c>
      <c r="G2396" t="s">
        <v>308</v>
      </c>
      <c r="H2396" t="s">
        <v>16</v>
      </c>
      <c r="I2396" t="s">
        <v>10054</v>
      </c>
      <c r="J2396" t="s">
        <v>10055</v>
      </c>
      <c r="K2396" t="s">
        <v>1809</v>
      </c>
      <c r="L2396" t="str">
        <f>HYPERLINK("https://business-monitor.ch/de/companies/103675-solit-immobilien-ag?utm_source=oberaargau","PROFIL ANSEHEN")</f>
        <v>PROFIL ANSEHEN</v>
      </c>
    </row>
    <row r="2397" spans="1:12" x14ac:dyDescent="0.2">
      <c r="A2397" t="s">
        <v>10254</v>
      </c>
      <c r="B2397" t="s">
        <v>10255</v>
      </c>
      <c r="C2397" t="s">
        <v>202</v>
      </c>
      <c r="E2397" t="s">
        <v>10256</v>
      </c>
      <c r="F2397">
        <v>4938</v>
      </c>
      <c r="G2397" t="s">
        <v>618</v>
      </c>
      <c r="H2397" t="s">
        <v>16</v>
      </c>
      <c r="I2397" t="s">
        <v>232</v>
      </c>
      <c r="J2397" t="s">
        <v>233</v>
      </c>
      <c r="K2397" t="s">
        <v>1809</v>
      </c>
      <c r="L2397" t="str">
        <f>HYPERLINK("https://business-monitor.ch/de/companies/588627-mahe-herrmann-gmbh?utm_source=oberaargau","PROFIL ANSEHEN")</f>
        <v>PROFIL ANSEHEN</v>
      </c>
    </row>
    <row r="2398" spans="1:12" x14ac:dyDescent="0.2">
      <c r="A2398" t="s">
        <v>13379</v>
      </c>
      <c r="B2398" t="s">
        <v>13380</v>
      </c>
      <c r="C2398" t="s">
        <v>202</v>
      </c>
      <c r="E2398" t="s">
        <v>4273</v>
      </c>
      <c r="F2398">
        <v>4900</v>
      </c>
      <c r="G2398" t="s">
        <v>41</v>
      </c>
      <c r="H2398" t="s">
        <v>16</v>
      </c>
      <c r="I2398" t="s">
        <v>671</v>
      </c>
      <c r="J2398" t="s">
        <v>672</v>
      </c>
      <c r="K2398" t="s">
        <v>1809</v>
      </c>
      <c r="L2398" t="str">
        <f>HYPERLINK("https://business-monitor.ch/de/companies/1245269-c-bolla-gmbh?utm_source=oberaargau","PROFIL ANSEHEN")</f>
        <v>PROFIL ANSEHEN</v>
      </c>
    </row>
    <row r="2399" spans="1:12" x14ac:dyDescent="0.2">
      <c r="A2399" t="s">
        <v>7165</v>
      </c>
      <c r="B2399" t="s">
        <v>7166</v>
      </c>
      <c r="C2399" t="s">
        <v>202</v>
      </c>
      <c r="E2399" t="s">
        <v>7167</v>
      </c>
      <c r="F2399">
        <v>4934</v>
      </c>
      <c r="G2399" t="s">
        <v>670</v>
      </c>
      <c r="H2399" t="s">
        <v>16</v>
      </c>
      <c r="I2399" t="s">
        <v>613</v>
      </c>
      <c r="J2399" t="s">
        <v>614</v>
      </c>
      <c r="K2399" t="s">
        <v>1809</v>
      </c>
      <c r="L2399" t="str">
        <f>HYPERLINK("https://business-monitor.ch/de/companies/694104-radsport-lafranchi-gmbh?utm_source=oberaargau","PROFIL ANSEHEN")</f>
        <v>PROFIL ANSEHEN</v>
      </c>
    </row>
    <row r="2400" spans="1:12" x14ac:dyDescent="0.2">
      <c r="A2400" t="s">
        <v>5764</v>
      </c>
      <c r="B2400" t="s">
        <v>5765</v>
      </c>
      <c r="C2400" t="s">
        <v>202</v>
      </c>
      <c r="E2400" t="s">
        <v>4996</v>
      </c>
      <c r="F2400">
        <v>4932</v>
      </c>
      <c r="G2400" t="s">
        <v>325</v>
      </c>
      <c r="H2400" t="s">
        <v>16</v>
      </c>
      <c r="I2400" t="s">
        <v>2587</v>
      </c>
      <c r="J2400" t="s">
        <v>2588</v>
      </c>
      <c r="K2400" t="s">
        <v>1809</v>
      </c>
      <c r="L2400" t="str">
        <f>HYPERLINK("https://business-monitor.ch/de/companies/516557-waffen-sommer-gmbh?utm_source=oberaargau","PROFIL ANSEHEN")</f>
        <v>PROFIL ANSEHEN</v>
      </c>
    </row>
    <row r="2401" spans="1:12" x14ac:dyDescent="0.2">
      <c r="A2401" t="s">
        <v>9908</v>
      </c>
      <c r="B2401" t="s">
        <v>9909</v>
      </c>
      <c r="C2401" t="s">
        <v>202</v>
      </c>
      <c r="E2401" t="s">
        <v>9910</v>
      </c>
      <c r="F2401">
        <v>4954</v>
      </c>
      <c r="G2401" t="s">
        <v>359</v>
      </c>
      <c r="H2401" t="s">
        <v>16</v>
      </c>
      <c r="I2401" t="s">
        <v>1053</v>
      </c>
      <c r="J2401" t="s">
        <v>1054</v>
      </c>
      <c r="K2401" t="s">
        <v>1809</v>
      </c>
      <c r="L2401" t="str">
        <f>HYPERLINK("https://business-monitor.ch/de/companies/963902-bsy-ch-raumgestaltung-gmbh?utm_source=oberaargau","PROFIL ANSEHEN")</f>
        <v>PROFIL ANSEHEN</v>
      </c>
    </row>
    <row r="2402" spans="1:12" x14ac:dyDescent="0.2">
      <c r="A2402" t="s">
        <v>14151</v>
      </c>
      <c r="B2402" t="s">
        <v>14152</v>
      </c>
      <c r="C2402" t="s">
        <v>202</v>
      </c>
      <c r="E2402" t="s">
        <v>4108</v>
      </c>
      <c r="F2402">
        <v>4537</v>
      </c>
      <c r="G2402" t="s">
        <v>113</v>
      </c>
      <c r="H2402" t="s">
        <v>16</v>
      </c>
      <c r="I2402" t="s">
        <v>4205</v>
      </c>
      <c r="J2402" t="s">
        <v>4206</v>
      </c>
      <c r="K2402" t="s">
        <v>1809</v>
      </c>
      <c r="L2402" t="str">
        <f>HYPERLINK("https://business-monitor.ch/de/companies/1285956-rk-kiosk-shop-gmbh?utm_source=oberaargau","PROFIL ANSEHEN")</f>
        <v>PROFIL ANSEHEN</v>
      </c>
    </row>
    <row r="2403" spans="1:12" x14ac:dyDescent="0.2">
      <c r="A2403" t="s">
        <v>9120</v>
      </c>
      <c r="B2403" t="s">
        <v>9121</v>
      </c>
      <c r="C2403" t="s">
        <v>13</v>
      </c>
      <c r="D2403" t="s">
        <v>9122</v>
      </c>
      <c r="E2403" t="s">
        <v>3837</v>
      </c>
      <c r="F2403">
        <v>3380</v>
      </c>
      <c r="G2403" t="s">
        <v>29</v>
      </c>
      <c r="H2403" t="s">
        <v>16</v>
      </c>
      <c r="I2403" t="s">
        <v>3838</v>
      </c>
      <c r="J2403" t="s">
        <v>3839</v>
      </c>
      <c r="K2403" t="s">
        <v>1809</v>
      </c>
      <c r="L2403" t="str">
        <f>HYPERLINK("https://business-monitor.ch/de/companies/173736-jaeggi-ag?utm_source=oberaargau","PROFIL ANSEHEN")</f>
        <v>PROFIL ANSEHEN</v>
      </c>
    </row>
    <row r="2404" spans="1:12" x14ac:dyDescent="0.2">
      <c r="A2404" t="s">
        <v>13706</v>
      </c>
      <c r="B2404" t="s">
        <v>13707</v>
      </c>
      <c r="C2404" t="s">
        <v>1812</v>
      </c>
      <c r="E2404" t="s">
        <v>7282</v>
      </c>
      <c r="F2404">
        <v>4900</v>
      </c>
      <c r="G2404" t="s">
        <v>41</v>
      </c>
      <c r="H2404" t="s">
        <v>16</v>
      </c>
      <c r="I2404" t="s">
        <v>2244</v>
      </c>
      <c r="J2404" t="s">
        <v>2245</v>
      </c>
      <c r="K2404" t="s">
        <v>1809</v>
      </c>
      <c r="L2404" t="str">
        <f>HYPERLINK("https://business-monitor.ch/de/companies/1254444-spbm-piljic?utm_source=oberaargau","PROFIL ANSEHEN")</f>
        <v>PROFIL ANSEHEN</v>
      </c>
    </row>
    <row r="2405" spans="1:12" x14ac:dyDescent="0.2">
      <c r="A2405" t="s">
        <v>7607</v>
      </c>
      <c r="B2405" t="s">
        <v>7608</v>
      </c>
      <c r="C2405" t="s">
        <v>13</v>
      </c>
      <c r="D2405" t="s">
        <v>7609</v>
      </c>
      <c r="E2405" t="s">
        <v>6998</v>
      </c>
      <c r="F2405">
        <v>4934</v>
      </c>
      <c r="G2405" t="s">
        <v>670</v>
      </c>
      <c r="H2405" t="s">
        <v>16</v>
      </c>
      <c r="I2405" t="s">
        <v>551</v>
      </c>
      <c r="J2405" t="s">
        <v>552</v>
      </c>
      <c r="K2405" t="s">
        <v>1809</v>
      </c>
      <c r="L2405" t="str">
        <f>HYPERLINK("https://business-monitor.ch/de/companies/666933-goes-sme-ag?utm_source=oberaargau","PROFIL ANSEHEN")</f>
        <v>PROFIL ANSEHEN</v>
      </c>
    </row>
    <row r="2406" spans="1:12" x14ac:dyDescent="0.2">
      <c r="A2406" t="s">
        <v>12284</v>
      </c>
      <c r="B2406" t="s">
        <v>12285</v>
      </c>
      <c r="C2406" t="s">
        <v>202</v>
      </c>
      <c r="D2406" t="s">
        <v>12286</v>
      </c>
      <c r="E2406" t="s">
        <v>12287</v>
      </c>
      <c r="F2406">
        <v>3375</v>
      </c>
      <c r="G2406" t="s">
        <v>667</v>
      </c>
      <c r="H2406" t="s">
        <v>16</v>
      </c>
      <c r="I2406" t="s">
        <v>186</v>
      </c>
      <c r="J2406" t="s">
        <v>187</v>
      </c>
      <c r="K2406" t="s">
        <v>1809</v>
      </c>
      <c r="L2406" t="str">
        <f>HYPERLINK("https://business-monitor.ch/de/companies/1191942-burri-invest-gmbh?utm_source=oberaargau","PROFIL ANSEHEN")</f>
        <v>PROFIL ANSEHEN</v>
      </c>
    </row>
    <row r="2407" spans="1:12" x14ac:dyDescent="0.2">
      <c r="A2407" t="s">
        <v>1900</v>
      </c>
      <c r="B2407" t="s">
        <v>1901</v>
      </c>
      <c r="C2407" t="s">
        <v>13</v>
      </c>
      <c r="E2407" t="s">
        <v>1902</v>
      </c>
      <c r="F2407">
        <v>4952</v>
      </c>
      <c r="G2407" t="s">
        <v>474</v>
      </c>
      <c r="H2407" t="s">
        <v>16</v>
      </c>
      <c r="I2407" t="s">
        <v>366</v>
      </c>
      <c r="J2407" t="s">
        <v>367</v>
      </c>
      <c r="K2407" t="s">
        <v>1809</v>
      </c>
      <c r="L2407" t="str">
        <f>HYPERLINK("https://business-monitor.ch/de/companies/350194-altersheim-leimatt-ag?utm_source=oberaargau","PROFIL ANSEHEN")</f>
        <v>PROFIL ANSEHEN</v>
      </c>
    </row>
    <row r="2408" spans="1:12" x14ac:dyDescent="0.2">
      <c r="A2408" t="s">
        <v>10223</v>
      </c>
      <c r="B2408" t="s">
        <v>10224</v>
      </c>
      <c r="C2408" t="s">
        <v>202</v>
      </c>
      <c r="E2408" t="s">
        <v>10225</v>
      </c>
      <c r="F2408">
        <v>4900</v>
      </c>
      <c r="G2408" t="s">
        <v>41</v>
      </c>
      <c r="H2408" t="s">
        <v>16</v>
      </c>
      <c r="I2408" t="s">
        <v>1852</v>
      </c>
      <c r="J2408" t="s">
        <v>1853</v>
      </c>
      <c r="K2408" t="s">
        <v>1809</v>
      </c>
      <c r="L2408" t="str">
        <f>HYPERLINK("https://business-monitor.ch/de/companies/607871-reno-bau-mosimann-gmbh?utm_source=oberaargau","PROFIL ANSEHEN")</f>
        <v>PROFIL ANSEHEN</v>
      </c>
    </row>
    <row r="2409" spans="1:12" x14ac:dyDescent="0.2">
      <c r="A2409" t="s">
        <v>14511</v>
      </c>
      <c r="B2409" t="s">
        <v>14512</v>
      </c>
      <c r="C2409" t="s">
        <v>202</v>
      </c>
      <c r="E2409" t="s">
        <v>6091</v>
      </c>
      <c r="F2409">
        <v>4912</v>
      </c>
      <c r="G2409" t="s">
        <v>64</v>
      </c>
      <c r="H2409" t="s">
        <v>16</v>
      </c>
      <c r="I2409" t="s">
        <v>824</v>
      </c>
      <c r="J2409" t="s">
        <v>825</v>
      </c>
      <c r="K2409" t="s">
        <v>1809</v>
      </c>
      <c r="L2409" t="str">
        <f>HYPERLINK("https://business-monitor.ch/de/companies/1305170-restaurant-im-rank-gmbh?utm_source=oberaargau","PROFIL ANSEHEN")</f>
        <v>PROFIL ANSEHEN</v>
      </c>
    </row>
    <row r="2410" spans="1:12" x14ac:dyDescent="0.2">
      <c r="A2410" t="s">
        <v>6991</v>
      </c>
      <c r="B2410" t="s">
        <v>1083</v>
      </c>
      <c r="C2410" t="s">
        <v>2178</v>
      </c>
      <c r="E2410" t="s">
        <v>1346</v>
      </c>
      <c r="F2410">
        <v>4950</v>
      </c>
      <c r="G2410" t="s">
        <v>15</v>
      </c>
      <c r="H2410" t="s">
        <v>16</v>
      </c>
      <c r="I2410" t="s">
        <v>232</v>
      </c>
      <c r="J2410" t="s">
        <v>233</v>
      </c>
      <c r="K2410" t="s">
        <v>1809</v>
      </c>
      <c r="L2410" t="str">
        <f>HYPERLINK("https://business-monitor.ch/de/companies/1049767-indigo-treuhand-ag?utm_source=oberaargau","PROFIL ANSEHEN")</f>
        <v>PROFIL ANSEHEN</v>
      </c>
    </row>
    <row r="2411" spans="1:12" x14ac:dyDescent="0.2">
      <c r="A2411" t="s">
        <v>11088</v>
      </c>
      <c r="B2411" t="s">
        <v>11089</v>
      </c>
      <c r="C2411" t="s">
        <v>202</v>
      </c>
      <c r="D2411" t="s">
        <v>11090</v>
      </c>
      <c r="E2411" t="s">
        <v>11091</v>
      </c>
      <c r="F2411">
        <v>4537</v>
      </c>
      <c r="G2411" t="s">
        <v>113</v>
      </c>
      <c r="H2411" t="s">
        <v>16</v>
      </c>
      <c r="I2411" t="s">
        <v>237</v>
      </c>
      <c r="J2411" t="s">
        <v>238</v>
      </c>
      <c r="K2411" t="s">
        <v>1809</v>
      </c>
      <c r="L2411" t="str">
        <f>HYPERLINK("https://business-monitor.ch/de/companies/568509-svela-the-tea-and-taste-company-gmbh?utm_source=oberaargau","PROFIL ANSEHEN")</f>
        <v>PROFIL ANSEHEN</v>
      </c>
    </row>
    <row r="2412" spans="1:12" x14ac:dyDescent="0.2">
      <c r="A2412" t="s">
        <v>13770</v>
      </c>
      <c r="B2412" t="s">
        <v>13771</v>
      </c>
      <c r="C2412" t="s">
        <v>202</v>
      </c>
      <c r="E2412" t="s">
        <v>13772</v>
      </c>
      <c r="F2412">
        <v>4900</v>
      </c>
      <c r="G2412" t="s">
        <v>41</v>
      </c>
      <c r="H2412" t="s">
        <v>16</v>
      </c>
      <c r="I2412" t="s">
        <v>153</v>
      </c>
      <c r="J2412" t="s">
        <v>154</v>
      </c>
      <c r="K2412" t="s">
        <v>1809</v>
      </c>
      <c r="L2412" t="str">
        <f>HYPERLINK("https://business-monitor.ch/de/companies/1268322-aydemir-energieberatung-gmbh?utm_source=oberaargau","PROFIL ANSEHEN")</f>
        <v>PROFIL ANSEHEN</v>
      </c>
    </row>
    <row r="2413" spans="1:12" x14ac:dyDescent="0.2">
      <c r="A2413" t="s">
        <v>8265</v>
      </c>
      <c r="B2413" t="s">
        <v>8266</v>
      </c>
      <c r="C2413" t="s">
        <v>202</v>
      </c>
      <c r="E2413" t="s">
        <v>4281</v>
      </c>
      <c r="F2413">
        <v>4704</v>
      </c>
      <c r="G2413" t="s">
        <v>221</v>
      </c>
      <c r="H2413" t="s">
        <v>16</v>
      </c>
      <c r="I2413" t="s">
        <v>186</v>
      </c>
      <c r="J2413" t="s">
        <v>187</v>
      </c>
      <c r="K2413" t="s">
        <v>1809</v>
      </c>
      <c r="L2413" t="str">
        <f>HYPERLINK("https://business-monitor.ch/de/companies/1083142-bama-invest-gmbh?utm_source=oberaargau","PROFIL ANSEHEN")</f>
        <v>PROFIL ANSEHEN</v>
      </c>
    </row>
    <row r="2414" spans="1:12" x14ac:dyDescent="0.2">
      <c r="A2414" t="s">
        <v>14513</v>
      </c>
      <c r="B2414" t="s">
        <v>14514</v>
      </c>
      <c r="C2414" t="s">
        <v>202</v>
      </c>
      <c r="E2414" t="s">
        <v>9493</v>
      </c>
      <c r="F2414">
        <v>4912</v>
      </c>
      <c r="G2414" t="s">
        <v>64</v>
      </c>
      <c r="H2414" t="s">
        <v>16</v>
      </c>
      <c r="I2414" t="s">
        <v>260</v>
      </c>
      <c r="J2414" t="s">
        <v>261</v>
      </c>
      <c r="K2414" t="s">
        <v>1809</v>
      </c>
      <c r="L2414" t="str">
        <f>HYPERLINK("https://business-monitor.ch/de/companies/1305077-solvance-gmbh?utm_source=oberaargau","PROFIL ANSEHEN")</f>
        <v>PROFIL ANSEHEN</v>
      </c>
    </row>
    <row r="2415" spans="1:12" x14ac:dyDescent="0.2">
      <c r="A2415" t="s">
        <v>4579</v>
      </c>
      <c r="B2415" t="s">
        <v>4580</v>
      </c>
      <c r="C2415" t="s">
        <v>202</v>
      </c>
      <c r="E2415" t="s">
        <v>4581</v>
      </c>
      <c r="F2415">
        <v>3374</v>
      </c>
      <c r="G2415" t="s">
        <v>894</v>
      </c>
      <c r="H2415" t="s">
        <v>16</v>
      </c>
      <c r="I2415" t="s">
        <v>4582</v>
      </c>
      <c r="J2415" t="s">
        <v>4583</v>
      </c>
      <c r="K2415" t="s">
        <v>1809</v>
      </c>
      <c r="L2415" t="str">
        <f>HYPERLINK("https://business-monitor.ch/de/companies/652444-baertschi-forstservice-gmbh?utm_source=oberaargau","PROFIL ANSEHEN")</f>
        <v>PROFIL ANSEHEN</v>
      </c>
    </row>
    <row r="2416" spans="1:12" x14ac:dyDescent="0.2">
      <c r="A2416" t="s">
        <v>10847</v>
      </c>
      <c r="B2416" t="s">
        <v>10848</v>
      </c>
      <c r="C2416" t="s">
        <v>202</v>
      </c>
      <c r="D2416" t="s">
        <v>10849</v>
      </c>
      <c r="E2416" t="s">
        <v>7951</v>
      </c>
      <c r="F2416">
        <v>4914</v>
      </c>
      <c r="G2416" t="s">
        <v>105</v>
      </c>
      <c r="H2416" t="s">
        <v>16</v>
      </c>
      <c r="I2416" t="s">
        <v>854</v>
      </c>
      <c r="J2416" t="s">
        <v>855</v>
      </c>
      <c r="K2416" t="s">
        <v>1809</v>
      </c>
      <c r="L2416" t="str">
        <f>HYPERLINK("https://business-monitor.ch/de/companies/720421-workflowcommander-gmbh?utm_source=oberaargau","PROFIL ANSEHEN")</f>
        <v>PROFIL ANSEHEN</v>
      </c>
    </row>
    <row r="2417" spans="1:12" x14ac:dyDescent="0.2">
      <c r="A2417" t="s">
        <v>11270</v>
      </c>
      <c r="B2417" t="s">
        <v>11271</v>
      </c>
      <c r="C2417" t="s">
        <v>1922</v>
      </c>
      <c r="D2417" t="s">
        <v>5218</v>
      </c>
      <c r="E2417" t="s">
        <v>5219</v>
      </c>
      <c r="F2417">
        <v>4900</v>
      </c>
      <c r="G2417" t="s">
        <v>41</v>
      </c>
      <c r="H2417" t="s">
        <v>16</v>
      </c>
      <c r="I2417" t="s">
        <v>2849</v>
      </c>
      <c r="J2417" t="s">
        <v>2850</v>
      </c>
      <c r="K2417" t="s">
        <v>1809</v>
      </c>
      <c r="L2417" t="str">
        <f>HYPERLINK("https://business-monitor.ch/de/companies/1133868-fondation-impulsions?utm_source=oberaargau","PROFIL ANSEHEN")</f>
        <v>PROFIL ANSEHEN</v>
      </c>
    </row>
    <row r="2418" spans="1:12" x14ac:dyDescent="0.2">
      <c r="A2418" t="s">
        <v>12118</v>
      </c>
      <c r="B2418" t="s">
        <v>12119</v>
      </c>
      <c r="C2418" t="s">
        <v>1812</v>
      </c>
      <c r="E2418" t="s">
        <v>12120</v>
      </c>
      <c r="F2418">
        <v>3360</v>
      </c>
      <c r="G2418" t="s">
        <v>35</v>
      </c>
      <c r="H2418" t="s">
        <v>16</v>
      </c>
      <c r="I2418" t="s">
        <v>2045</v>
      </c>
      <c r="J2418" t="s">
        <v>2046</v>
      </c>
      <c r="K2418" t="s">
        <v>1809</v>
      </c>
      <c r="L2418" t="str">
        <f>HYPERLINK("https://business-monitor.ch/de/companies/1179011-goldschmiede-von-arx?utm_source=oberaargau","PROFIL ANSEHEN")</f>
        <v>PROFIL ANSEHEN</v>
      </c>
    </row>
    <row r="2419" spans="1:12" x14ac:dyDescent="0.2">
      <c r="A2419" t="s">
        <v>4741</v>
      </c>
      <c r="B2419" t="s">
        <v>4742</v>
      </c>
      <c r="C2419" t="s">
        <v>1812</v>
      </c>
      <c r="E2419" t="s">
        <v>2089</v>
      </c>
      <c r="F2419">
        <v>4950</v>
      </c>
      <c r="G2419" t="s">
        <v>15</v>
      </c>
      <c r="H2419" t="s">
        <v>16</v>
      </c>
      <c r="I2419" t="s">
        <v>59</v>
      </c>
      <c r="J2419" t="s">
        <v>60</v>
      </c>
      <c r="K2419" t="s">
        <v>1809</v>
      </c>
      <c r="L2419" t="str">
        <f>HYPERLINK("https://business-monitor.ch/de/companies/581211-hotel-krone-sieber?utm_source=oberaargau","PROFIL ANSEHEN")</f>
        <v>PROFIL ANSEHEN</v>
      </c>
    </row>
    <row r="2420" spans="1:12" x14ac:dyDescent="0.2">
      <c r="A2420" t="s">
        <v>11629</v>
      </c>
      <c r="B2420" t="s">
        <v>11630</v>
      </c>
      <c r="C2420" t="s">
        <v>1812</v>
      </c>
      <c r="E2420" t="s">
        <v>5711</v>
      </c>
      <c r="F2420">
        <v>4900</v>
      </c>
      <c r="G2420" t="s">
        <v>41</v>
      </c>
      <c r="H2420" t="s">
        <v>16</v>
      </c>
      <c r="I2420" t="s">
        <v>1818</v>
      </c>
      <c r="J2420" t="s">
        <v>1819</v>
      </c>
      <c r="K2420" t="s">
        <v>1809</v>
      </c>
      <c r="L2420" t="str">
        <f>HYPERLINK("https://business-monitor.ch/de/companies/1155815-allianz-suisse-generalagentur-remo-kraehenbuehl?utm_source=oberaargau","PROFIL ANSEHEN")</f>
        <v>PROFIL ANSEHEN</v>
      </c>
    </row>
    <row r="2421" spans="1:12" x14ac:dyDescent="0.2">
      <c r="A2421" t="s">
        <v>10598</v>
      </c>
      <c r="B2421" t="s">
        <v>10599</v>
      </c>
      <c r="C2421" t="s">
        <v>13</v>
      </c>
      <c r="E2421" t="s">
        <v>2821</v>
      </c>
      <c r="F2421">
        <v>3360</v>
      </c>
      <c r="G2421" t="s">
        <v>35</v>
      </c>
      <c r="H2421" t="s">
        <v>16</v>
      </c>
      <c r="I2421" t="s">
        <v>1535</v>
      </c>
      <c r="J2421" t="s">
        <v>1536</v>
      </c>
      <c r="K2421" t="s">
        <v>1809</v>
      </c>
      <c r="L2421" t="str">
        <f>HYPERLINK("https://business-monitor.ch/de/companies/13828-andreas-wagner-ag?utm_source=oberaargau","PROFIL ANSEHEN")</f>
        <v>PROFIL ANSEHEN</v>
      </c>
    </row>
    <row r="2422" spans="1:12" x14ac:dyDescent="0.2">
      <c r="A2422" t="s">
        <v>10287</v>
      </c>
      <c r="B2422" t="s">
        <v>10288</v>
      </c>
      <c r="C2422" t="s">
        <v>13</v>
      </c>
      <c r="E2422" t="s">
        <v>10289</v>
      </c>
      <c r="F2422">
        <v>4912</v>
      </c>
      <c r="G2422" t="s">
        <v>64</v>
      </c>
      <c r="H2422" t="s">
        <v>16</v>
      </c>
      <c r="I2422" t="s">
        <v>186</v>
      </c>
      <c r="J2422" t="s">
        <v>187</v>
      </c>
      <c r="K2422" t="s">
        <v>1809</v>
      </c>
      <c r="L2422" t="str">
        <f>HYPERLINK("https://business-monitor.ch/de/companies/571229-stesta-swiss-ag?utm_source=oberaargau","PROFIL ANSEHEN")</f>
        <v>PROFIL ANSEHEN</v>
      </c>
    </row>
    <row r="2423" spans="1:12" x14ac:dyDescent="0.2">
      <c r="A2423" t="s">
        <v>13625</v>
      </c>
      <c r="B2423" t="s">
        <v>13626</v>
      </c>
      <c r="C2423" t="s">
        <v>13</v>
      </c>
      <c r="E2423" t="s">
        <v>8276</v>
      </c>
      <c r="F2423">
        <v>4704</v>
      </c>
      <c r="G2423" t="s">
        <v>221</v>
      </c>
      <c r="H2423" t="s">
        <v>16</v>
      </c>
      <c r="I2423" t="s">
        <v>260</v>
      </c>
      <c r="J2423" t="s">
        <v>261</v>
      </c>
      <c r="K2423" t="s">
        <v>1809</v>
      </c>
      <c r="L2423" t="str">
        <f>HYPERLINK("https://business-monitor.ch/de/companies/1259629-tergo-invest-ag?utm_source=oberaargau","PROFIL ANSEHEN")</f>
        <v>PROFIL ANSEHEN</v>
      </c>
    </row>
    <row r="2424" spans="1:12" x14ac:dyDescent="0.2">
      <c r="A2424" t="s">
        <v>3100</v>
      </c>
      <c r="B2424" t="s">
        <v>3101</v>
      </c>
      <c r="C2424" t="s">
        <v>202</v>
      </c>
      <c r="E2424" t="s">
        <v>11417</v>
      </c>
      <c r="F2424">
        <v>4913</v>
      </c>
      <c r="G2424" t="s">
        <v>207</v>
      </c>
      <c r="H2424" t="s">
        <v>16</v>
      </c>
      <c r="I2424" t="s">
        <v>679</v>
      </c>
      <c r="J2424" t="s">
        <v>680</v>
      </c>
      <c r="K2424" t="s">
        <v>1809</v>
      </c>
      <c r="L2424" t="str">
        <f>HYPERLINK("https://business-monitor.ch/de/companies/325480-markus-hasler-gmbh?utm_source=oberaargau","PROFIL ANSEHEN")</f>
        <v>PROFIL ANSEHEN</v>
      </c>
    </row>
    <row r="2425" spans="1:12" x14ac:dyDescent="0.2">
      <c r="A2425" t="s">
        <v>12853</v>
      </c>
      <c r="B2425" t="s">
        <v>12854</v>
      </c>
      <c r="C2425" t="s">
        <v>1812</v>
      </c>
      <c r="E2425" t="s">
        <v>3922</v>
      </c>
      <c r="F2425">
        <v>4537</v>
      </c>
      <c r="G2425" t="s">
        <v>113</v>
      </c>
      <c r="H2425" t="s">
        <v>16</v>
      </c>
      <c r="I2425" t="s">
        <v>824</v>
      </c>
      <c r="J2425" t="s">
        <v>825</v>
      </c>
      <c r="K2425" t="s">
        <v>1809</v>
      </c>
      <c r="L2425" t="str">
        <f>HYPERLINK("https://business-monitor.ch/de/companies/1227333-kurts-imbiss-oase-inh-gasser?utm_source=oberaargau","PROFIL ANSEHEN")</f>
        <v>PROFIL ANSEHEN</v>
      </c>
    </row>
    <row r="2426" spans="1:12" x14ac:dyDescent="0.2">
      <c r="A2426" t="s">
        <v>13502</v>
      </c>
      <c r="B2426" t="s">
        <v>13503</v>
      </c>
      <c r="C2426" t="s">
        <v>202</v>
      </c>
      <c r="E2426" t="s">
        <v>14515</v>
      </c>
      <c r="F2426">
        <v>3360</v>
      </c>
      <c r="G2426" t="s">
        <v>35</v>
      </c>
      <c r="H2426" t="s">
        <v>16</v>
      </c>
      <c r="I2426" t="s">
        <v>935</v>
      </c>
      <c r="J2426" t="s">
        <v>936</v>
      </c>
      <c r="K2426" t="s">
        <v>1809</v>
      </c>
      <c r="L2426" t="str">
        <f>HYPERLINK("https://business-monitor.ch/de/companies/1245114-pheenic-s-gmbh?utm_source=oberaargau","PROFIL ANSEHEN")</f>
        <v>PROFIL ANSEHEN</v>
      </c>
    </row>
    <row r="2427" spans="1:12" x14ac:dyDescent="0.2">
      <c r="A2427" t="s">
        <v>3445</v>
      </c>
      <c r="B2427" t="s">
        <v>5465</v>
      </c>
      <c r="C2427" t="s">
        <v>1812</v>
      </c>
      <c r="F2427">
        <v>4935</v>
      </c>
      <c r="G2427" t="s">
        <v>443</v>
      </c>
      <c r="H2427" t="s">
        <v>16</v>
      </c>
      <c r="I2427" t="s">
        <v>464</v>
      </c>
      <c r="J2427" t="s">
        <v>465</v>
      </c>
      <c r="K2427" t="s">
        <v>1809</v>
      </c>
      <c r="L2427" t="str">
        <f>HYPERLINK("https://business-monitor.ch/de/companies/189461-bieri-alfred-transporte?utm_source=oberaargau","PROFIL ANSEHEN")</f>
        <v>PROFIL ANSEHEN</v>
      </c>
    </row>
    <row r="2428" spans="1:12" x14ac:dyDescent="0.2">
      <c r="A2428" t="s">
        <v>5374</v>
      </c>
      <c r="B2428" t="s">
        <v>5375</v>
      </c>
      <c r="C2428" t="s">
        <v>1812</v>
      </c>
      <c r="E2428" t="s">
        <v>5376</v>
      </c>
      <c r="F2428">
        <v>3360</v>
      </c>
      <c r="G2428" t="s">
        <v>35</v>
      </c>
      <c r="H2428" t="s">
        <v>16</v>
      </c>
      <c r="I2428" t="s">
        <v>748</v>
      </c>
      <c r="J2428" t="s">
        <v>749</v>
      </c>
      <c r="K2428" t="s">
        <v>1809</v>
      </c>
      <c r="L2428" t="str">
        <f>HYPERLINK("https://business-monitor.ch/de/companies/369376-orient-gipserei-bekir?utm_source=oberaargau","PROFIL ANSEHEN")</f>
        <v>PROFIL ANSEHEN</v>
      </c>
    </row>
    <row r="2429" spans="1:12" x14ac:dyDescent="0.2">
      <c r="A2429" t="s">
        <v>6349</v>
      </c>
      <c r="B2429" t="s">
        <v>6350</v>
      </c>
      <c r="C2429" t="s">
        <v>1812</v>
      </c>
      <c r="E2429" t="s">
        <v>5363</v>
      </c>
      <c r="F2429">
        <v>3377</v>
      </c>
      <c r="G2429" t="s">
        <v>1220</v>
      </c>
      <c r="H2429" t="s">
        <v>16</v>
      </c>
      <c r="I2429" t="s">
        <v>2748</v>
      </c>
      <c r="J2429" t="s">
        <v>2749</v>
      </c>
      <c r="K2429" t="s">
        <v>1809</v>
      </c>
      <c r="L2429" t="str">
        <f>HYPERLINK("https://business-monitor.ch/de/companies/314646-amia-knuesel?utm_source=oberaargau","PROFIL ANSEHEN")</f>
        <v>PROFIL ANSEHEN</v>
      </c>
    </row>
    <row r="2430" spans="1:12" x14ac:dyDescent="0.2">
      <c r="A2430" t="s">
        <v>7772</v>
      </c>
      <c r="B2430" t="s">
        <v>7773</v>
      </c>
      <c r="C2430" t="s">
        <v>202</v>
      </c>
      <c r="E2430" t="s">
        <v>10920</v>
      </c>
      <c r="F2430">
        <v>4934</v>
      </c>
      <c r="G2430" t="s">
        <v>670</v>
      </c>
      <c r="H2430" t="s">
        <v>16</v>
      </c>
      <c r="I2430" t="s">
        <v>2226</v>
      </c>
      <c r="J2430" t="s">
        <v>2227</v>
      </c>
      <c r="K2430" t="s">
        <v>1809</v>
      </c>
      <c r="L2430" t="str">
        <f>HYPERLINK("https://business-monitor.ch/de/companies/572558-physio3-langetental-gmbh?utm_source=oberaargau","PROFIL ANSEHEN")</f>
        <v>PROFIL ANSEHEN</v>
      </c>
    </row>
    <row r="2431" spans="1:12" x14ac:dyDescent="0.2">
      <c r="A2431" t="s">
        <v>10094</v>
      </c>
      <c r="B2431" t="s">
        <v>10095</v>
      </c>
      <c r="C2431" t="s">
        <v>13</v>
      </c>
      <c r="D2431" t="s">
        <v>10096</v>
      </c>
      <c r="E2431" t="s">
        <v>1021</v>
      </c>
      <c r="F2431">
        <v>4943</v>
      </c>
      <c r="G2431" t="s">
        <v>1022</v>
      </c>
      <c r="H2431" t="s">
        <v>16</v>
      </c>
      <c r="I2431" t="s">
        <v>182</v>
      </c>
      <c r="J2431" t="s">
        <v>183</v>
      </c>
      <c r="K2431" t="s">
        <v>1809</v>
      </c>
      <c r="L2431" t="str">
        <f>HYPERLINK("https://business-monitor.ch/de/companies/676362-schneeberger-bau-holding-ag?utm_source=oberaargau","PROFIL ANSEHEN")</f>
        <v>PROFIL ANSEHEN</v>
      </c>
    </row>
    <row r="2432" spans="1:12" x14ac:dyDescent="0.2">
      <c r="A2432" t="s">
        <v>14516</v>
      </c>
      <c r="B2432" t="s">
        <v>14517</v>
      </c>
      <c r="C2432" t="s">
        <v>202</v>
      </c>
      <c r="E2432" t="s">
        <v>1893</v>
      </c>
      <c r="F2432">
        <v>4900</v>
      </c>
      <c r="G2432" t="s">
        <v>41</v>
      </c>
      <c r="H2432" t="s">
        <v>16</v>
      </c>
      <c r="I2432" t="s">
        <v>748</v>
      </c>
      <c r="J2432" t="s">
        <v>749</v>
      </c>
      <c r="K2432" t="s">
        <v>1809</v>
      </c>
      <c r="L2432" t="str">
        <f>HYPERLINK("https://business-monitor.ch/de/companies/452858-g-k-gipsergeschaeft-gmbh?utm_source=oberaargau","PROFIL ANSEHEN")</f>
        <v>PROFIL ANSEHEN</v>
      </c>
    </row>
    <row r="2433" spans="1:12" x14ac:dyDescent="0.2">
      <c r="A2433" t="s">
        <v>5004</v>
      </c>
      <c r="B2433" t="s">
        <v>5005</v>
      </c>
      <c r="C2433" t="s">
        <v>13</v>
      </c>
      <c r="E2433" t="s">
        <v>14518</v>
      </c>
      <c r="F2433">
        <v>4942</v>
      </c>
      <c r="G2433" t="s">
        <v>5006</v>
      </c>
      <c r="H2433" t="s">
        <v>16</v>
      </c>
      <c r="I2433" t="s">
        <v>5007</v>
      </c>
      <c r="J2433" t="s">
        <v>5008</v>
      </c>
      <c r="K2433" t="s">
        <v>1809</v>
      </c>
      <c r="L2433" t="str">
        <f>HYPERLINK("https://business-monitor.ch/de/companies/115464-kaeser-ag-schreinerei-kuechenbau?utm_source=oberaargau","PROFIL ANSEHEN")</f>
        <v>PROFIL ANSEHEN</v>
      </c>
    </row>
    <row r="2434" spans="1:12" x14ac:dyDescent="0.2">
      <c r="A2434" t="s">
        <v>7630</v>
      </c>
      <c r="B2434" t="s">
        <v>7631</v>
      </c>
      <c r="C2434" t="s">
        <v>13</v>
      </c>
      <c r="E2434" t="s">
        <v>7632</v>
      </c>
      <c r="F2434">
        <v>4934</v>
      </c>
      <c r="G2434" t="s">
        <v>670</v>
      </c>
      <c r="H2434" t="s">
        <v>16</v>
      </c>
      <c r="I2434" t="s">
        <v>182</v>
      </c>
      <c r="J2434" t="s">
        <v>183</v>
      </c>
      <c r="K2434" t="s">
        <v>1809</v>
      </c>
      <c r="L2434" t="str">
        <f>HYPERLINK("https://business-monitor.ch/de/companies/655990-immo-luethi-holding-ag?utm_source=oberaargau","PROFIL ANSEHEN")</f>
        <v>PROFIL ANSEHEN</v>
      </c>
    </row>
    <row r="2435" spans="1:12" x14ac:dyDescent="0.2">
      <c r="A2435" t="s">
        <v>14094</v>
      </c>
      <c r="B2435" t="s">
        <v>14095</v>
      </c>
      <c r="C2435" t="s">
        <v>202</v>
      </c>
      <c r="E2435" t="s">
        <v>1796</v>
      </c>
      <c r="F2435">
        <v>4900</v>
      </c>
      <c r="G2435" t="s">
        <v>41</v>
      </c>
      <c r="H2435" t="s">
        <v>16</v>
      </c>
      <c r="I2435" t="s">
        <v>3746</v>
      </c>
      <c r="J2435" t="s">
        <v>3747</v>
      </c>
      <c r="K2435" t="s">
        <v>1809</v>
      </c>
      <c r="L2435" t="str">
        <f>HYPERLINK("https://business-monitor.ch/de/companies/1290117-irene-ruckstuhl-gmbh?utm_source=oberaargau","PROFIL ANSEHEN")</f>
        <v>PROFIL ANSEHEN</v>
      </c>
    </row>
    <row r="2436" spans="1:12" x14ac:dyDescent="0.2">
      <c r="A2436" t="s">
        <v>6615</v>
      </c>
      <c r="B2436" t="s">
        <v>7939</v>
      </c>
      <c r="C2436" t="s">
        <v>2258</v>
      </c>
      <c r="F2436">
        <v>4900</v>
      </c>
      <c r="G2436" t="s">
        <v>41</v>
      </c>
      <c r="H2436" t="s">
        <v>16</v>
      </c>
      <c r="I2436" t="s">
        <v>232</v>
      </c>
      <c r="J2436" t="s">
        <v>233</v>
      </c>
      <c r="K2436" t="s">
        <v>1809</v>
      </c>
      <c r="L2436" t="str">
        <f>HYPERLINK("https://business-monitor.ch/de/companies/189314-agro-treuhand-waldhof?utm_source=oberaargau","PROFIL ANSEHEN")</f>
        <v>PROFIL ANSEHEN</v>
      </c>
    </row>
    <row r="2437" spans="1:12" x14ac:dyDescent="0.2">
      <c r="A2437" t="s">
        <v>14328</v>
      </c>
      <c r="B2437" t="s">
        <v>14329</v>
      </c>
      <c r="C2437" t="s">
        <v>202</v>
      </c>
      <c r="D2437" t="s">
        <v>5210</v>
      </c>
      <c r="E2437" t="s">
        <v>1200</v>
      </c>
      <c r="F2437">
        <v>4900</v>
      </c>
      <c r="G2437" t="s">
        <v>41</v>
      </c>
      <c r="H2437" t="s">
        <v>16</v>
      </c>
      <c r="I2437" t="s">
        <v>186</v>
      </c>
      <c r="J2437" t="s">
        <v>187</v>
      </c>
      <c r="K2437" t="s">
        <v>1809</v>
      </c>
      <c r="L2437" t="str">
        <f>HYPERLINK("https://business-monitor.ch/de/companies/1289845-mafr-gmbh?utm_source=oberaargau","PROFIL ANSEHEN")</f>
        <v>PROFIL ANSEHEN</v>
      </c>
    </row>
    <row r="2438" spans="1:12" x14ac:dyDescent="0.2">
      <c r="A2438" t="s">
        <v>4549</v>
      </c>
      <c r="B2438" t="s">
        <v>10862</v>
      </c>
      <c r="C2438" t="s">
        <v>1812</v>
      </c>
      <c r="E2438" t="s">
        <v>10863</v>
      </c>
      <c r="F2438">
        <v>4912</v>
      </c>
      <c r="G2438" t="s">
        <v>64</v>
      </c>
      <c r="H2438" t="s">
        <v>16</v>
      </c>
      <c r="I2438" t="s">
        <v>642</v>
      </c>
      <c r="J2438" t="s">
        <v>643</v>
      </c>
      <c r="K2438" t="s">
        <v>1809</v>
      </c>
      <c r="L2438" t="str">
        <f>HYPERLINK("https://business-monitor.ch/de/companies/664353-alens-one-beslic?utm_source=oberaargau","PROFIL ANSEHEN")</f>
        <v>PROFIL ANSEHEN</v>
      </c>
    </row>
    <row r="2439" spans="1:12" x14ac:dyDescent="0.2">
      <c r="A2439" t="s">
        <v>7675</v>
      </c>
      <c r="B2439" t="s">
        <v>7676</v>
      </c>
      <c r="C2439" t="s">
        <v>13</v>
      </c>
      <c r="D2439" t="s">
        <v>7677</v>
      </c>
      <c r="E2439" t="s">
        <v>7678</v>
      </c>
      <c r="F2439">
        <v>4537</v>
      </c>
      <c r="G2439" t="s">
        <v>113</v>
      </c>
      <c r="H2439" t="s">
        <v>16</v>
      </c>
      <c r="I2439" t="s">
        <v>12666</v>
      </c>
      <c r="J2439" t="s">
        <v>12667</v>
      </c>
      <c r="K2439" t="s">
        <v>1809</v>
      </c>
      <c r="L2439" t="str">
        <f>HYPERLINK("https://business-monitor.ch/de/companies/621888-halbeisen-underwear-ag?utm_source=oberaargau","PROFIL ANSEHEN")</f>
        <v>PROFIL ANSEHEN</v>
      </c>
    </row>
    <row r="2440" spans="1:12" x14ac:dyDescent="0.2">
      <c r="A2440" t="s">
        <v>13831</v>
      </c>
      <c r="B2440" t="s">
        <v>13832</v>
      </c>
      <c r="C2440" t="s">
        <v>2178</v>
      </c>
      <c r="E2440" t="s">
        <v>11172</v>
      </c>
      <c r="F2440">
        <v>4537</v>
      </c>
      <c r="G2440" t="s">
        <v>113</v>
      </c>
      <c r="H2440" t="s">
        <v>16</v>
      </c>
      <c r="I2440" t="s">
        <v>955</v>
      </c>
      <c r="J2440" t="s">
        <v>956</v>
      </c>
      <c r="K2440" t="s">
        <v>1809</v>
      </c>
      <c r="L2440" t="str">
        <f>HYPERLINK("https://business-monitor.ch/de/companies/1266646-dhollandia-vertretung-ag?utm_source=oberaargau","PROFIL ANSEHEN")</f>
        <v>PROFIL ANSEHEN</v>
      </c>
    </row>
    <row r="2441" spans="1:12" x14ac:dyDescent="0.2">
      <c r="A2441" t="s">
        <v>11142</v>
      </c>
      <c r="B2441" t="s">
        <v>11143</v>
      </c>
      <c r="C2441" t="s">
        <v>1812</v>
      </c>
      <c r="E2441" t="s">
        <v>6139</v>
      </c>
      <c r="F2441">
        <v>4704</v>
      </c>
      <c r="G2441" t="s">
        <v>221</v>
      </c>
      <c r="H2441" t="s">
        <v>16</v>
      </c>
      <c r="I2441" t="s">
        <v>2962</v>
      </c>
      <c r="J2441" t="s">
        <v>2963</v>
      </c>
      <c r="K2441" t="s">
        <v>1809</v>
      </c>
      <c r="L2441" t="str">
        <f>HYPERLINK("https://business-monitor.ch/de/companies/1119253-office-de-verification-des-poids-et-mesures-be-4-schaerer?utm_source=oberaargau","PROFIL ANSEHEN")</f>
        <v>PROFIL ANSEHEN</v>
      </c>
    </row>
    <row r="2442" spans="1:12" x14ac:dyDescent="0.2">
      <c r="A2442" t="s">
        <v>14519</v>
      </c>
      <c r="B2442" t="s">
        <v>14520</v>
      </c>
      <c r="C2442" t="s">
        <v>202</v>
      </c>
      <c r="E2442" t="s">
        <v>6941</v>
      </c>
      <c r="F2442">
        <v>4912</v>
      </c>
      <c r="G2442" t="s">
        <v>64</v>
      </c>
      <c r="H2442" t="s">
        <v>16</v>
      </c>
      <c r="I2442" t="s">
        <v>4547</v>
      </c>
      <c r="J2442" t="s">
        <v>4548</v>
      </c>
      <c r="K2442" t="s">
        <v>1809</v>
      </c>
      <c r="L2442" t="str">
        <f>HYPERLINK("https://business-monitor.ch/de/companies/1309120-leoniki-gmbh?utm_source=oberaargau","PROFIL ANSEHEN")</f>
        <v>PROFIL ANSEHEN</v>
      </c>
    </row>
    <row r="2443" spans="1:12" x14ac:dyDescent="0.2">
      <c r="A2443" t="s">
        <v>5547</v>
      </c>
      <c r="B2443" t="s">
        <v>5548</v>
      </c>
      <c r="C2443" t="s">
        <v>1812</v>
      </c>
      <c r="E2443" t="s">
        <v>5549</v>
      </c>
      <c r="F2443">
        <v>4900</v>
      </c>
      <c r="G2443" t="s">
        <v>41</v>
      </c>
      <c r="H2443" t="s">
        <v>16</v>
      </c>
      <c r="I2443" t="s">
        <v>4895</v>
      </c>
      <c r="J2443" t="s">
        <v>4896</v>
      </c>
      <c r="K2443" t="s">
        <v>1809</v>
      </c>
      <c r="L2443" t="str">
        <f>HYPERLINK("https://business-monitor.ch/de/companies/10774-emilio-vazquez-gasser?utm_source=oberaargau","PROFIL ANSEHEN")</f>
        <v>PROFIL ANSEHEN</v>
      </c>
    </row>
    <row r="2444" spans="1:12" x14ac:dyDescent="0.2">
      <c r="A2444" t="s">
        <v>3475</v>
      </c>
      <c r="B2444" t="s">
        <v>3476</v>
      </c>
      <c r="C2444" t="s">
        <v>13</v>
      </c>
      <c r="E2444" t="s">
        <v>3477</v>
      </c>
      <c r="F2444">
        <v>4900</v>
      </c>
      <c r="G2444" t="s">
        <v>41</v>
      </c>
      <c r="H2444" t="s">
        <v>16</v>
      </c>
      <c r="I2444" t="s">
        <v>642</v>
      </c>
      <c r="J2444" t="s">
        <v>643</v>
      </c>
      <c r="K2444" t="s">
        <v>1809</v>
      </c>
      <c r="L2444" t="str">
        <f>HYPERLINK("https://business-monitor.ch/de/companies/170867-meier-garage-ch-ag?utm_source=oberaargau","PROFIL ANSEHEN")</f>
        <v>PROFIL ANSEHEN</v>
      </c>
    </row>
    <row r="2445" spans="1:12" x14ac:dyDescent="0.2">
      <c r="A2445" t="s">
        <v>13872</v>
      </c>
      <c r="B2445" t="s">
        <v>13873</v>
      </c>
      <c r="C2445" t="s">
        <v>13</v>
      </c>
      <c r="E2445" t="s">
        <v>2029</v>
      </c>
      <c r="F2445">
        <v>4952</v>
      </c>
      <c r="G2445" t="s">
        <v>474</v>
      </c>
      <c r="H2445" t="s">
        <v>16</v>
      </c>
      <c r="I2445" t="s">
        <v>182</v>
      </c>
      <c r="J2445" t="s">
        <v>183</v>
      </c>
      <c r="K2445" t="s">
        <v>1809</v>
      </c>
      <c r="L2445" t="str">
        <f>HYPERLINK("https://business-monitor.ch/de/companies/674533-edileca-holding-ag?utm_source=oberaargau","PROFIL ANSEHEN")</f>
        <v>PROFIL ANSEHEN</v>
      </c>
    </row>
    <row r="2446" spans="1:12" x14ac:dyDescent="0.2">
      <c r="A2446" t="s">
        <v>7610</v>
      </c>
      <c r="B2446" t="s">
        <v>7611</v>
      </c>
      <c r="C2446" t="s">
        <v>1812</v>
      </c>
      <c r="E2446" t="s">
        <v>7612</v>
      </c>
      <c r="F2446">
        <v>4900</v>
      </c>
      <c r="G2446" t="s">
        <v>41</v>
      </c>
      <c r="H2446" t="s">
        <v>16</v>
      </c>
      <c r="I2446" t="s">
        <v>3982</v>
      </c>
      <c r="J2446" t="s">
        <v>3983</v>
      </c>
      <c r="K2446" t="s">
        <v>1809</v>
      </c>
      <c r="L2446" t="str">
        <f>HYPERLINK("https://business-monitor.ch/de/companies/666478-durband-creative-laboratory?utm_source=oberaargau","PROFIL ANSEHEN")</f>
        <v>PROFIL ANSEHEN</v>
      </c>
    </row>
    <row r="2447" spans="1:12" x14ac:dyDescent="0.2">
      <c r="A2447" t="s">
        <v>10235</v>
      </c>
      <c r="B2447" t="s">
        <v>10236</v>
      </c>
      <c r="C2447" t="s">
        <v>13</v>
      </c>
      <c r="E2447" t="s">
        <v>10237</v>
      </c>
      <c r="F2447">
        <v>4900</v>
      </c>
      <c r="G2447" t="s">
        <v>41</v>
      </c>
      <c r="H2447" t="s">
        <v>16</v>
      </c>
      <c r="I2447" t="s">
        <v>906</v>
      </c>
      <c r="J2447" t="s">
        <v>907</v>
      </c>
      <c r="K2447" t="s">
        <v>1809</v>
      </c>
      <c r="L2447" t="str">
        <f>HYPERLINK("https://business-monitor.ch/de/companies/604278-lantop-ag?utm_source=oberaargau","PROFIL ANSEHEN")</f>
        <v>PROFIL ANSEHEN</v>
      </c>
    </row>
    <row r="2448" spans="1:12" x14ac:dyDescent="0.2">
      <c r="A2448" t="s">
        <v>14246</v>
      </c>
      <c r="B2448" t="s">
        <v>14247</v>
      </c>
      <c r="C2448" t="s">
        <v>202</v>
      </c>
      <c r="E2448" t="s">
        <v>4189</v>
      </c>
      <c r="F2448">
        <v>4704</v>
      </c>
      <c r="G2448" t="s">
        <v>221</v>
      </c>
      <c r="H2448" t="s">
        <v>16</v>
      </c>
      <c r="I2448" t="s">
        <v>72</v>
      </c>
      <c r="J2448" t="s">
        <v>73</v>
      </c>
      <c r="K2448" t="s">
        <v>1809</v>
      </c>
      <c r="L2448" t="str">
        <f>HYPERLINK("https://business-monitor.ch/de/companies/1295889-retika-gmbh?utm_source=oberaargau","PROFIL ANSEHEN")</f>
        <v>PROFIL ANSEHEN</v>
      </c>
    </row>
    <row r="2449" spans="1:12" x14ac:dyDescent="0.2">
      <c r="A2449" t="s">
        <v>4408</v>
      </c>
      <c r="B2449" t="s">
        <v>4409</v>
      </c>
      <c r="C2449" t="s">
        <v>13</v>
      </c>
      <c r="E2449" t="s">
        <v>3622</v>
      </c>
      <c r="F2449">
        <v>3360</v>
      </c>
      <c r="G2449" t="s">
        <v>35</v>
      </c>
      <c r="H2449" t="s">
        <v>16</v>
      </c>
      <c r="I2449" t="s">
        <v>182</v>
      </c>
      <c r="J2449" t="s">
        <v>183</v>
      </c>
      <c r="K2449" t="s">
        <v>1809</v>
      </c>
      <c r="L2449" t="str">
        <f>HYPERLINK("https://business-monitor.ch/de/companies/939561-hap-holding-ag?utm_source=oberaargau","PROFIL ANSEHEN")</f>
        <v>PROFIL ANSEHEN</v>
      </c>
    </row>
    <row r="2450" spans="1:12" x14ac:dyDescent="0.2">
      <c r="A2450" t="s">
        <v>13993</v>
      </c>
      <c r="B2450" t="s">
        <v>13994</v>
      </c>
      <c r="C2450" t="s">
        <v>1812</v>
      </c>
      <c r="E2450" t="s">
        <v>11910</v>
      </c>
      <c r="F2450">
        <v>4938</v>
      </c>
      <c r="G2450" t="s">
        <v>618</v>
      </c>
      <c r="H2450" t="s">
        <v>16</v>
      </c>
      <c r="I2450" t="s">
        <v>276</v>
      </c>
      <c r="J2450" t="s">
        <v>277</v>
      </c>
      <c r="K2450" t="s">
        <v>1809</v>
      </c>
      <c r="L2450" t="str">
        <f>HYPERLINK("https://business-monitor.ch/de/companies/1274418-guedel-happy-food?utm_source=oberaargau","PROFIL ANSEHEN")</f>
        <v>PROFIL ANSEHEN</v>
      </c>
    </row>
    <row r="2451" spans="1:12" x14ac:dyDescent="0.2">
      <c r="A2451" t="s">
        <v>13850</v>
      </c>
      <c r="B2451" t="s">
        <v>13851</v>
      </c>
      <c r="C2451" t="s">
        <v>1812</v>
      </c>
      <c r="E2451" t="s">
        <v>1228</v>
      </c>
      <c r="F2451">
        <v>4900</v>
      </c>
      <c r="G2451" t="s">
        <v>41</v>
      </c>
      <c r="H2451" t="s">
        <v>16</v>
      </c>
      <c r="I2451" t="s">
        <v>642</v>
      </c>
      <c r="J2451" t="s">
        <v>643</v>
      </c>
      <c r="K2451" t="s">
        <v>1809</v>
      </c>
      <c r="L2451" t="str">
        <f>HYPERLINK("https://business-monitor.ch/de/companies/1270845-fresh-finish-bilalli?utm_source=oberaargau","PROFIL ANSEHEN")</f>
        <v>PROFIL ANSEHEN</v>
      </c>
    </row>
    <row r="2452" spans="1:12" x14ac:dyDescent="0.2">
      <c r="A2452" t="s">
        <v>5016</v>
      </c>
      <c r="B2452" t="s">
        <v>5017</v>
      </c>
      <c r="C2452" t="s">
        <v>1812</v>
      </c>
      <c r="E2452" t="s">
        <v>2334</v>
      </c>
      <c r="F2452">
        <v>4938</v>
      </c>
      <c r="G2452" t="s">
        <v>618</v>
      </c>
      <c r="H2452" t="s">
        <v>16</v>
      </c>
      <c r="I2452" t="s">
        <v>551</v>
      </c>
      <c r="J2452" t="s">
        <v>552</v>
      </c>
      <c r="K2452" t="s">
        <v>1809</v>
      </c>
      <c r="L2452" t="str">
        <f>HYPERLINK("https://business-monitor.ch/de/companies/114932-emarkt-consulting-dr-beat-d-wyser?utm_source=oberaargau","PROFIL ANSEHEN")</f>
        <v>PROFIL ANSEHEN</v>
      </c>
    </row>
    <row r="2453" spans="1:12" x14ac:dyDescent="0.2">
      <c r="A2453" t="s">
        <v>7690</v>
      </c>
      <c r="B2453" t="s">
        <v>7691</v>
      </c>
      <c r="C2453" t="s">
        <v>202</v>
      </c>
      <c r="E2453" t="s">
        <v>7692</v>
      </c>
      <c r="F2453">
        <v>4914</v>
      </c>
      <c r="G2453" t="s">
        <v>105</v>
      </c>
      <c r="H2453" t="s">
        <v>16</v>
      </c>
      <c r="I2453" t="s">
        <v>433</v>
      </c>
      <c r="J2453" t="s">
        <v>434</v>
      </c>
      <c r="K2453" t="s">
        <v>1809</v>
      </c>
      <c r="L2453" t="str">
        <f>HYPERLINK("https://business-monitor.ch/de/companies/615473-belli-s-eventlokal-gmbh?utm_source=oberaargau","PROFIL ANSEHEN")</f>
        <v>PROFIL ANSEHEN</v>
      </c>
    </row>
    <row r="2454" spans="1:12" x14ac:dyDescent="0.2">
      <c r="A2454" t="s">
        <v>2475</v>
      </c>
      <c r="B2454" t="s">
        <v>2476</v>
      </c>
      <c r="C2454" t="s">
        <v>202</v>
      </c>
      <c r="E2454" t="s">
        <v>13888</v>
      </c>
      <c r="F2454">
        <v>4704</v>
      </c>
      <c r="G2454" t="s">
        <v>221</v>
      </c>
      <c r="H2454" t="s">
        <v>16</v>
      </c>
      <c r="I2454" t="s">
        <v>1245</v>
      </c>
      <c r="J2454" t="s">
        <v>1246</v>
      </c>
      <c r="K2454" t="s">
        <v>1809</v>
      </c>
      <c r="L2454" t="str">
        <f>HYPERLINK("https://business-monitor.ch/de/companies/211455-schlosserei-anderegg-gmbh?utm_source=oberaargau","PROFIL ANSEHEN")</f>
        <v>PROFIL ANSEHEN</v>
      </c>
    </row>
    <row r="2455" spans="1:12" x14ac:dyDescent="0.2">
      <c r="A2455" t="s">
        <v>5061</v>
      </c>
      <c r="B2455" t="s">
        <v>5062</v>
      </c>
      <c r="C2455" t="s">
        <v>1812</v>
      </c>
      <c r="E2455" t="s">
        <v>5063</v>
      </c>
      <c r="F2455">
        <v>3362</v>
      </c>
      <c r="G2455" t="s">
        <v>47</v>
      </c>
      <c r="H2455" t="s">
        <v>16</v>
      </c>
      <c r="I2455" t="s">
        <v>1062</v>
      </c>
      <c r="J2455" t="s">
        <v>1063</v>
      </c>
      <c r="K2455" t="s">
        <v>1809</v>
      </c>
      <c r="L2455" t="str">
        <f>HYPERLINK("https://business-monitor.ch/de/companies/1089931-martig-plattenbelaege?utm_source=oberaargau","PROFIL ANSEHEN")</f>
        <v>PROFIL ANSEHEN</v>
      </c>
    </row>
    <row r="2456" spans="1:12" x14ac:dyDescent="0.2">
      <c r="A2456" t="s">
        <v>11073</v>
      </c>
      <c r="B2456" t="s">
        <v>11074</v>
      </c>
      <c r="C2456" t="s">
        <v>202</v>
      </c>
      <c r="E2456" t="s">
        <v>7954</v>
      </c>
      <c r="F2456">
        <v>3475</v>
      </c>
      <c r="G2456" t="s">
        <v>965</v>
      </c>
      <c r="H2456" t="s">
        <v>16</v>
      </c>
      <c r="I2456" t="s">
        <v>2226</v>
      </c>
      <c r="J2456" t="s">
        <v>2227</v>
      </c>
      <c r="K2456" t="s">
        <v>1809</v>
      </c>
      <c r="L2456" t="str">
        <f>HYPERLINK("https://business-monitor.ch/de/companies/1113044-massage-wynistorf-gmbh?utm_source=oberaargau","PROFIL ANSEHEN")</f>
        <v>PROFIL ANSEHEN</v>
      </c>
    </row>
    <row r="2457" spans="1:12" x14ac:dyDescent="0.2">
      <c r="A2457" t="s">
        <v>4969</v>
      </c>
      <c r="B2457" t="s">
        <v>4970</v>
      </c>
      <c r="C2457" t="s">
        <v>1922</v>
      </c>
      <c r="E2457" t="s">
        <v>4971</v>
      </c>
      <c r="F2457">
        <v>4934</v>
      </c>
      <c r="G2457" t="s">
        <v>670</v>
      </c>
      <c r="H2457" t="s">
        <v>16</v>
      </c>
      <c r="I2457" t="s">
        <v>4972</v>
      </c>
      <c r="J2457" t="s">
        <v>4973</v>
      </c>
      <c r="K2457" t="s">
        <v>1809</v>
      </c>
      <c r="L2457" t="str">
        <f>HYPERLINK("https://business-monitor.ch/de/companies/280685-stiftung-wbm?utm_source=oberaargau","PROFIL ANSEHEN")</f>
        <v>PROFIL ANSEHEN</v>
      </c>
    </row>
    <row r="2458" spans="1:12" x14ac:dyDescent="0.2">
      <c r="A2458" t="s">
        <v>9666</v>
      </c>
      <c r="B2458" t="s">
        <v>9667</v>
      </c>
      <c r="C2458" t="s">
        <v>1812</v>
      </c>
      <c r="E2458" t="s">
        <v>9668</v>
      </c>
      <c r="F2458">
        <v>3362</v>
      </c>
      <c r="G2458" t="s">
        <v>47</v>
      </c>
      <c r="H2458" t="s">
        <v>16</v>
      </c>
      <c r="I2458" t="s">
        <v>1337</v>
      </c>
      <c r="J2458" t="s">
        <v>1338</v>
      </c>
      <c r="K2458" t="s">
        <v>1809</v>
      </c>
      <c r="L2458" t="str">
        <f>HYPERLINK("https://business-monitor.ch/de/companies/622614-boardys-jaggi?utm_source=oberaargau","PROFIL ANSEHEN")</f>
        <v>PROFIL ANSEHEN</v>
      </c>
    </row>
    <row r="2459" spans="1:12" x14ac:dyDescent="0.2">
      <c r="A2459" t="s">
        <v>10421</v>
      </c>
      <c r="B2459" t="s">
        <v>10422</v>
      </c>
      <c r="C2459" t="s">
        <v>1827</v>
      </c>
      <c r="E2459" t="s">
        <v>1426</v>
      </c>
      <c r="F2459">
        <v>4912</v>
      </c>
      <c r="G2459" t="s">
        <v>64</v>
      </c>
      <c r="H2459" t="s">
        <v>16</v>
      </c>
      <c r="I2459" t="s">
        <v>1062</v>
      </c>
      <c r="J2459" t="s">
        <v>1063</v>
      </c>
      <c r="K2459" t="s">
        <v>1809</v>
      </c>
      <c r="L2459" t="str">
        <f>HYPERLINK("https://business-monitor.ch/de/companies/116005-hebu-keramik-burkhard-beat-hegi-samuel?utm_source=oberaargau","PROFIL ANSEHEN")</f>
        <v>PROFIL ANSEHEN</v>
      </c>
    </row>
    <row r="2460" spans="1:12" x14ac:dyDescent="0.2">
      <c r="A2460" t="s">
        <v>3809</v>
      </c>
      <c r="B2460" t="s">
        <v>3810</v>
      </c>
      <c r="C2460" t="s">
        <v>13</v>
      </c>
      <c r="E2460" t="s">
        <v>3811</v>
      </c>
      <c r="F2460">
        <v>4933</v>
      </c>
      <c r="G2460" t="s">
        <v>3812</v>
      </c>
      <c r="H2460" t="s">
        <v>16</v>
      </c>
      <c r="I2460" t="s">
        <v>157</v>
      </c>
      <c r="J2460" t="s">
        <v>158</v>
      </c>
      <c r="K2460" t="s">
        <v>1809</v>
      </c>
      <c r="L2460" t="str">
        <f>HYPERLINK("https://business-monitor.ch/de/companies/630801-fiechter-immobilien-ag?utm_source=oberaargau","PROFIL ANSEHEN")</f>
        <v>PROFIL ANSEHEN</v>
      </c>
    </row>
    <row r="2461" spans="1:12" x14ac:dyDescent="0.2">
      <c r="A2461" t="s">
        <v>4674</v>
      </c>
      <c r="B2461" t="s">
        <v>4675</v>
      </c>
      <c r="C2461" t="s">
        <v>1812</v>
      </c>
      <c r="E2461" t="s">
        <v>4676</v>
      </c>
      <c r="F2461">
        <v>4913</v>
      </c>
      <c r="G2461" t="s">
        <v>207</v>
      </c>
      <c r="H2461" t="s">
        <v>16</v>
      </c>
      <c r="I2461" t="s">
        <v>642</v>
      </c>
      <c r="J2461" t="s">
        <v>643</v>
      </c>
      <c r="K2461" t="s">
        <v>1809</v>
      </c>
      <c r="L2461" t="str">
        <f>HYPERLINK("https://business-monitor.ch/de/companies/610810-jost-autoreparatur-werkstaette?utm_source=oberaargau","PROFIL ANSEHEN")</f>
        <v>PROFIL ANSEHEN</v>
      </c>
    </row>
    <row r="2462" spans="1:12" x14ac:dyDescent="0.2">
      <c r="A2462" t="s">
        <v>12077</v>
      </c>
      <c r="B2462" t="s">
        <v>12078</v>
      </c>
      <c r="C2462" t="s">
        <v>202</v>
      </c>
      <c r="E2462" t="s">
        <v>12079</v>
      </c>
      <c r="F2462">
        <v>3360</v>
      </c>
      <c r="G2462" t="s">
        <v>35</v>
      </c>
      <c r="H2462" t="s">
        <v>16</v>
      </c>
      <c r="I2462" t="s">
        <v>2842</v>
      </c>
      <c r="J2462" t="s">
        <v>2843</v>
      </c>
      <c r="K2462" t="s">
        <v>1809</v>
      </c>
      <c r="L2462" t="str">
        <f>HYPERLINK("https://business-monitor.ch/de/companies/566297-itcop-gmbh?utm_source=oberaargau","PROFIL ANSEHEN")</f>
        <v>PROFIL ANSEHEN</v>
      </c>
    </row>
    <row r="2463" spans="1:12" x14ac:dyDescent="0.2">
      <c r="A2463" t="s">
        <v>14317</v>
      </c>
      <c r="B2463" t="s">
        <v>14318</v>
      </c>
      <c r="C2463" t="s">
        <v>202</v>
      </c>
      <c r="E2463" t="s">
        <v>14319</v>
      </c>
      <c r="F2463">
        <v>4917</v>
      </c>
      <c r="G2463" t="s">
        <v>376</v>
      </c>
      <c r="H2463" t="s">
        <v>16</v>
      </c>
      <c r="I2463" t="s">
        <v>3068</v>
      </c>
      <c r="J2463" t="s">
        <v>3069</v>
      </c>
      <c r="K2463" t="s">
        <v>1809</v>
      </c>
      <c r="L2463" t="str">
        <f>HYPERLINK("https://business-monitor.ch/de/companies/929985-fundaris-gmbh?utm_source=oberaargau","PROFIL ANSEHEN")</f>
        <v>PROFIL ANSEHEN</v>
      </c>
    </row>
    <row r="2464" spans="1:12" x14ac:dyDescent="0.2">
      <c r="A2464" t="s">
        <v>10831</v>
      </c>
      <c r="B2464" t="s">
        <v>10832</v>
      </c>
      <c r="C2464" t="s">
        <v>202</v>
      </c>
      <c r="E2464" t="s">
        <v>3638</v>
      </c>
      <c r="F2464">
        <v>4950</v>
      </c>
      <c r="G2464" t="s">
        <v>15</v>
      </c>
      <c r="H2464" t="s">
        <v>16</v>
      </c>
      <c r="I2464" t="s">
        <v>2231</v>
      </c>
      <c r="J2464" t="s">
        <v>2232</v>
      </c>
      <c r="K2464" t="s">
        <v>1809</v>
      </c>
      <c r="L2464" t="str">
        <f>HYPERLINK("https://business-monitor.ch/de/companies/1110780-burkhalter-malerei-gmbh?utm_source=oberaargau","PROFIL ANSEHEN")</f>
        <v>PROFIL ANSEHEN</v>
      </c>
    </row>
    <row r="2465" spans="1:12" x14ac:dyDescent="0.2">
      <c r="A2465" t="s">
        <v>12100</v>
      </c>
      <c r="B2465" t="s">
        <v>12101</v>
      </c>
      <c r="C2465" t="s">
        <v>13</v>
      </c>
      <c r="D2465" t="s">
        <v>9579</v>
      </c>
      <c r="E2465" t="s">
        <v>756</v>
      </c>
      <c r="F2465">
        <v>3360</v>
      </c>
      <c r="G2465" t="s">
        <v>35</v>
      </c>
      <c r="H2465" t="s">
        <v>16</v>
      </c>
      <c r="I2465" t="s">
        <v>186</v>
      </c>
      <c r="J2465" t="s">
        <v>187</v>
      </c>
      <c r="K2465" t="s">
        <v>1809</v>
      </c>
      <c r="L2465" t="str">
        <f>HYPERLINK("https://business-monitor.ch/de/companies/1180607-bfl-invest-ag?utm_source=oberaargau","PROFIL ANSEHEN")</f>
        <v>PROFIL ANSEHEN</v>
      </c>
    </row>
    <row r="2466" spans="1:12" x14ac:dyDescent="0.2">
      <c r="A2466" t="s">
        <v>11312</v>
      </c>
      <c r="B2466" t="s">
        <v>11313</v>
      </c>
      <c r="C2466" t="s">
        <v>202</v>
      </c>
      <c r="E2466" t="s">
        <v>11314</v>
      </c>
      <c r="F2466">
        <v>4923</v>
      </c>
      <c r="G2466" t="s">
        <v>732</v>
      </c>
      <c r="H2466" t="s">
        <v>16</v>
      </c>
      <c r="I2466" t="s">
        <v>917</v>
      </c>
      <c r="J2466" t="s">
        <v>918</v>
      </c>
      <c r="K2466" t="s">
        <v>1809</v>
      </c>
      <c r="L2466" t="str">
        <f>HYPERLINK("https://business-monitor.ch/de/companies/1124898-lliontech-gmbh?utm_source=oberaargau","PROFIL ANSEHEN")</f>
        <v>PROFIL ANSEHEN</v>
      </c>
    </row>
    <row r="2467" spans="1:12" x14ac:dyDescent="0.2">
      <c r="A2467" t="s">
        <v>13995</v>
      </c>
      <c r="B2467" t="s">
        <v>13996</v>
      </c>
      <c r="C2467" t="s">
        <v>13</v>
      </c>
      <c r="E2467" t="s">
        <v>7849</v>
      </c>
      <c r="F2467">
        <v>3360</v>
      </c>
      <c r="G2467" t="s">
        <v>35</v>
      </c>
      <c r="H2467" t="s">
        <v>16</v>
      </c>
      <c r="I2467" t="s">
        <v>1535</v>
      </c>
      <c r="J2467" t="s">
        <v>1536</v>
      </c>
      <c r="K2467" t="s">
        <v>1809</v>
      </c>
      <c r="L2467" t="str">
        <f>HYPERLINK("https://business-monitor.ch/de/companies/128311-wirth-gartenbau-flachdach-ag?utm_source=oberaargau","PROFIL ANSEHEN")</f>
        <v>PROFIL ANSEHEN</v>
      </c>
    </row>
    <row r="2468" spans="1:12" x14ac:dyDescent="0.2">
      <c r="A2468" t="s">
        <v>5303</v>
      </c>
      <c r="B2468" t="s">
        <v>5304</v>
      </c>
      <c r="C2468" t="s">
        <v>1812</v>
      </c>
      <c r="E2468" t="s">
        <v>573</v>
      </c>
      <c r="F2468">
        <v>4912</v>
      </c>
      <c r="G2468" t="s">
        <v>64</v>
      </c>
      <c r="H2468" t="s">
        <v>16</v>
      </c>
      <c r="I2468" t="s">
        <v>24</v>
      </c>
      <c r="J2468" t="s">
        <v>25</v>
      </c>
      <c r="K2468" t="s">
        <v>1809</v>
      </c>
      <c r="L2468" t="str">
        <f>HYPERLINK("https://business-monitor.ch/de/companies/512390-cemlling-koelliker?utm_source=oberaargau","PROFIL ANSEHEN")</f>
        <v>PROFIL ANSEHEN</v>
      </c>
    </row>
    <row r="2469" spans="1:12" x14ac:dyDescent="0.2">
      <c r="A2469" t="s">
        <v>9223</v>
      </c>
      <c r="B2469" t="s">
        <v>9224</v>
      </c>
      <c r="C2469" t="s">
        <v>202</v>
      </c>
      <c r="E2469" t="s">
        <v>9225</v>
      </c>
      <c r="F2469">
        <v>4954</v>
      </c>
      <c r="G2469" t="s">
        <v>359</v>
      </c>
      <c r="H2469" t="s">
        <v>16</v>
      </c>
      <c r="I2469" t="s">
        <v>1470</v>
      </c>
      <c r="J2469" t="s">
        <v>1471</v>
      </c>
      <c r="K2469" t="s">
        <v>1809</v>
      </c>
      <c r="L2469" t="str">
        <f>HYPERLINK("https://business-monitor.ch/de/companies/133025-flueckiger-schaerer-gmbh?utm_source=oberaargau","PROFIL ANSEHEN")</f>
        <v>PROFIL ANSEHEN</v>
      </c>
    </row>
    <row r="2470" spans="1:12" x14ac:dyDescent="0.2">
      <c r="A2470" t="s">
        <v>11204</v>
      </c>
      <c r="B2470" t="s">
        <v>11205</v>
      </c>
      <c r="C2470" t="s">
        <v>202</v>
      </c>
      <c r="E2470" t="s">
        <v>11206</v>
      </c>
      <c r="F2470">
        <v>4900</v>
      </c>
      <c r="G2470" t="s">
        <v>41</v>
      </c>
      <c r="H2470" t="s">
        <v>16</v>
      </c>
      <c r="I2470" t="s">
        <v>232</v>
      </c>
      <c r="J2470" t="s">
        <v>233</v>
      </c>
      <c r="K2470" t="s">
        <v>1809</v>
      </c>
      <c r="L2470" t="str">
        <f>HYPERLINK("https://business-monitor.ch/de/companies/1131510-janso-gmbh?utm_source=oberaargau","PROFIL ANSEHEN")</f>
        <v>PROFIL ANSEHEN</v>
      </c>
    </row>
    <row r="2471" spans="1:12" x14ac:dyDescent="0.2">
      <c r="A2471" t="s">
        <v>6248</v>
      </c>
      <c r="B2471" t="s">
        <v>6249</v>
      </c>
      <c r="C2471" t="s">
        <v>202</v>
      </c>
      <c r="E2471" t="s">
        <v>1016</v>
      </c>
      <c r="F2471">
        <v>4914</v>
      </c>
      <c r="G2471" t="s">
        <v>105</v>
      </c>
      <c r="H2471" t="s">
        <v>16</v>
      </c>
      <c r="I2471" t="s">
        <v>1818</v>
      </c>
      <c r="J2471" t="s">
        <v>1819</v>
      </c>
      <c r="K2471" t="s">
        <v>1809</v>
      </c>
      <c r="L2471" t="str">
        <f>HYPERLINK("https://business-monitor.ch/de/companies/422693-sam-sales-and-marketing-gmbh?utm_source=oberaargau","PROFIL ANSEHEN")</f>
        <v>PROFIL ANSEHEN</v>
      </c>
    </row>
    <row r="2472" spans="1:12" x14ac:dyDescent="0.2">
      <c r="A2472" t="s">
        <v>14031</v>
      </c>
      <c r="B2472" t="s">
        <v>14032</v>
      </c>
      <c r="C2472" t="s">
        <v>13</v>
      </c>
      <c r="E2472" t="s">
        <v>6885</v>
      </c>
      <c r="F2472">
        <v>4914</v>
      </c>
      <c r="G2472" t="s">
        <v>105</v>
      </c>
      <c r="H2472" t="s">
        <v>16</v>
      </c>
      <c r="I2472" t="s">
        <v>12290</v>
      </c>
      <c r="J2472" t="s">
        <v>12291</v>
      </c>
      <c r="K2472" t="s">
        <v>1809</v>
      </c>
      <c r="L2472" t="str">
        <f>HYPERLINK("https://business-monitor.ch/de/companies/653725-neumetall-ag?utm_source=oberaargau","PROFIL ANSEHEN")</f>
        <v>PROFIL ANSEHEN</v>
      </c>
    </row>
    <row r="2473" spans="1:12" x14ac:dyDescent="0.2">
      <c r="A2473" t="s">
        <v>7134</v>
      </c>
      <c r="B2473" t="s">
        <v>7135</v>
      </c>
      <c r="C2473" t="s">
        <v>13</v>
      </c>
      <c r="E2473" t="s">
        <v>7136</v>
      </c>
      <c r="F2473">
        <v>4900</v>
      </c>
      <c r="G2473" t="s">
        <v>41</v>
      </c>
      <c r="H2473" t="s">
        <v>16</v>
      </c>
      <c r="I2473" t="s">
        <v>72</v>
      </c>
      <c r="J2473" t="s">
        <v>73</v>
      </c>
      <c r="K2473" t="s">
        <v>1809</v>
      </c>
      <c r="L2473" t="str">
        <f>HYPERLINK("https://business-monitor.ch/de/companies/626551-gerber-farm-estates-ag?utm_source=oberaargau","PROFIL ANSEHEN")</f>
        <v>PROFIL ANSEHEN</v>
      </c>
    </row>
    <row r="2474" spans="1:12" x14ac:dyDescent="0.2">
      <c r="A2474" t="s">
        <v>10532</v>
      </c>
      <c r="B2474" t="s">
        <v>10533</v>
      </c>
      <c r="C2474" t="s">
        <v>1827</v>
      </c>
      <c r="E2474" t="s">
        <v>10534</v>
      </c>
      <c r="F2474">
        <v>3380</v>
      </c>
      <c r="G2474" t="s">
        <v>29</v>
      </c>
      <c r="H2474" t="s">
        <v>16</v>
      </c>
      <c r="I2474" t="s">
        <v>624</v>
      </c>
      <c r="J2474" t="s">
        <v>625</v>
      </c>
      <c r="K2474" t="s">
        <v>1809</v>
      </c>
      <c r="L2474" t="str">
        <f>HYPERLINK("https://business-monitor.ch/de/companies/215825-holzbau-hummel-rikli?utm_source=oberaargau","PROFIL ANSEHEN")</f>
        <v>PROFIL ANSEHEN</v>
      </c>
    </row>
    <row r="2475" spans="1:12" x14ac:dyDescent="0.2">
      <c r="A2475" t="s">
        <v>7016</v>
      </c>
      <c r="B2475" t="s">
        <v>7017</v>
      </c>
      <c r="C2475" t="s">
        <v>84</v>
      </c>
      <c r="E2475" t="s">
        <v>12122</v>
      </c>
      <c r="F2475">
        <v>3365</v>
      </c>
      <c r="G2475" t="s">
        <v>2390</v>
      </c>
      <c r="H2475" t="s">
        <v>16</v>
      </c>
      <c r="I2475" t="s">
        <v>906</v>
      </c>
      <c r="J2475" t="s">
        <v>907</v>
      </c>
      <c r="K2475" t="s">
        <v>1809</v>
      </c>
      <c r="L2475" t="str">
        <f>HYPERLINK("https://business-monitor.ch/de/companies/955329-genossenschaft-generationenwohnenseeberg?utm_source=oberaargau","PROFIL ANSEHEN")</f>
        <v>PROFIL ANSEHEN</v>
      </c>
    </row>
    <row r="2476" spans="1:12" x14ac:dyDescent="0.2">
      <c r="A2476" t="s">
        <v>7222</v>
      </c>
      <c r="B2476" t="s">
        <v>7223</v>
      </c>
      <c r="C2476" t="s">
        <v>1812</v>
      </c>
      <c r="E2476" t="s">
        <v>678</v>
      </c>
      <c r="F2476">
        <v>4538</v>
      </c>
      <c r="G2476" t="s">
        <v>71</v>
      </c>
      <c r="H2476" t="s">
        <v>16</v>
      </c>
      <c r="I2476" t="s">
        <v>464</v>
      </c>
      <c r="J2476" t="s">
        <v>465</v>
      </c>
      <c r="K2476" t="s">
        <v>1809</v>
      </c>
      <c r="L2476" t="str">
        <f>HYPERLINK("https://business-monitor.ch/de/companies/1032635-walther-transport?utm_source=oberaargau","PROFIL ANSEHEN")</f>
        <v>PROFIL ANSEHEN</v>
      </c>
    </row>
    <row r="2477" spans="1:12" x14ac:dyDescent="0.2">
      <c r="A2477" t="s">
        <v>5560</v>
      </c>
      <c r="B2477" t="s">
        <v>5561</v>
      </c>
      <c r="C2477" t="s">
        <v>1812</v>
      </c>
      <c r="E2477" t="s">
        <v>5562</v>
      </c>
      <c r="F2477">
        <v>4900</v>
      </c>
      <c r="G2477" t="s">
        <v>41</v>
      </c>
      <c r="H2477" t="s">
        <v>16</v>
      </c>
      <c r="I2477" t="s">
        <v>2045</v>
      </c>
      <c r="J2477" t="s">
        <v>2046</v>
      </c>
      <c r="K2477" t="s">
        <v>1809</v>
      </c>
      <c r="L2477" t="str">
        <f>HYPERLINK("https://business-monitor.ch/de/companies/157560-gold-schmiede-flueck?utm_source=oberaargau","PROFIL ANSEHEN")</f>
        <v>PROFIL ANSEHEN</v>
      </c>
    </row>
    <row r="2478" spans="1:12" x14ac:dyDescent="0.2">
      <c r="A2478" t="s">
        <v>11100</v>
      </c>
      <c r="B2478" t="s">
        <v>11101</v>
      </c>
      <c r="C2478" t="s">
        <v>202</v>
      </c>
      <c r="E2478" t="s">
        <v>10010</v>
      </c>
      <c r="F2478">
        <v>4537</v>
      </c>
      <c r="G2478" t="s">
        <v>113</v>
      </c>
      <c r="H2478" t="s">
        <v>16</v>
      </c>
      <c r="I2478" t="s">
        <v>2226</v>
      </c>
      <c r="J2478" t="s">
        <v>2227</v>
      </c>
      <c r="K2478" t="s">
        <v>1809</v>
      </c>
      <c r="L2478" t="str">
        <f>HYPERLINK("https://business-monitor.ch/de/companies/1121724-physiotherapie-schrimpf-gmbh?utm_source=oberaargau","PROFIL ANSEHEN")</f>
        <v>PROFIL ANSEHEN</v>
      </c>
    </row>
    <row r="2479" spans="1:12" x14ac:dyDescent="0.2">
      <c r="A2479" t="s">
        <v>7359</v>
      </c>
      <c r="B2479" t="s">
        <v>7360</v>
      </c>
      <c r="C2479" t="s">
        <v>202</v>
      </c>
      <c r="E2479" t="s">
        <v>3939</v>
      </c>
      <c r="F2479">
        <v>3380</v>
      </c>
      <c r="G2479" t="s">
        <v>29</v>
      </c>
      <c r="H2479" t="s">
        <v>16</v>
      </c>
      <c r="I2479" t="s">
        <v>153</v>
      </c>
      <c r="J2479" t="s">
        <v>154</v>
      </c>
      <c r="K2479" t="s">
        <v>1809</v>
      </c>
      <c r="L2479" t="str">
        <f>HYPERLINK("https://business-monitor.ch/de/companies/980822-zbinden-industries-gmbh?utm_source=oberaargau","PROFIL ANSEHEN")</f>
        <v>PROFIL ANSEHEN</v>
      </c>
    </row>
    <row r="2480" spans="1:12" x14ac:dyDescent="0.2">
      <c r="A2480" t="s">
        <v>5277</v>
      </c>
      <c r="B2480" t="s">
        <v>5278</v>
      </c>
      <c r="C2480" t="s">
        <v>1812</v>
      </c>
      <c r="E2480" t="s">
        <v>5279</v>
      </c>
      <c r="F2480">
        <v>3366</v>
      </c>
      <c r="G2480" t="s">
        <v>728</v>
      </c>
      <c r="H2480" t="s">
        <v>16</v>
      </c>
      <c r="I2480" t="s">
        <v>854</v>
      </c>
      <c r="J2480" t="s">
        <v>855</v>
      </c>
      <c r="K2480" t="s">
        <v>1809</v>
      </c>
      <c r="L2480" t="str">
        <f>HYPERLINK("https://business-monitor.ch/de/companies/359214-logocom-d-collet?utm_source=oberaargau","PROFIL ANSEHEN")</f>
        <v>PROFIL ANSEHEN</v>
      </c>
    </row>
    <row r="2481" spans="1:12" x14ac:dyDescent="0.2">
      <c r="A2481" t="s">
        <v>4772</v>
      </c>
      <c r="B2481" t="s">
        <v>4773</v>
      </c>
      <c r="C2481" t="s">
        <v>13</v>
      </c>
      <c r="D2481" t="s">
        <v>4774</v>
      </c>
      <c r="E2481" t="s">
        <v>4775</v>
      </c>
      <c r="F2481">
        <v>4900</v>
      </c>
      <c r="G2481" t="s">
        <v>41</v>
      </c>
      <c r="H2481" t="s">
        <v>16</v>
      </c>
      <c r="I2481" t="s">
        <v>587</v>
      </c>
      <c r="J2481" t="s">
        <v>588</v>
      </c>
      <c r="K2481" t="s">
        <v>1809</v>
      </c>
      <c r="L2481" t="str">
        <f>HYPERLINK("https://business-monitor.ch/de/companies/568619-warte-immo-ag?utm_source=oberaargau","PROFIL ANSEHEN")</f>
        <v>PROFIL ANSEHEN</v>
      </c>
    </row>
    <row r="2482" spans="1:12" x14ac:dyDescent="0.2">
      <c r="A2482" t="s">
        <v>9800</v>
      </c>
      <c r="B2482" t="s">
        <v>9801</v>
      </c>
      <c r="C2482" t="s">
        <v>1812</v>
      </c>
      <c r="E2482" t="s">
        <v>2610</v>
      </c>
      <c r="F2482">
        <v>4922</v>
      </c>
      <c r="G2482" t="s">
        <v>99</v>
      </c>
      <c r="H2482" t="s">
        <v>16</v>
      </c>
      <c r="I2482" t="s">
        <v>642</v>
      </c>
      <c r="J2482" t="s">
        <v>643</v>
      </c>
      <c r="K2482" t="s">
        <v>1809</v>
      </c>
      <c r="L2482" t="str">
        <f>HYPERLINK("https://business-monitor.ch/de/companies/1015184-eco-garage-rexhaj?utm_source=oberaargau","PROFIL ANSEHEN")</f>
        <v>PROFIL ANSEHEN</v>
      </c>
    </row>
    <row r="2483" spans="1:12" x14ac:dyDescent="0.2">
      <c r="A2483" t="s">
        <v>3173</v>
      </c>
      <c r="B2483" t="s">
        <v>3174</v>
      </c>
      <c r="C2483" t="s">
        <v>202</v>
      </c>
      <c r="E2483" t="s">
        <v>14228</v>
      </c>
      <c r="F2483">
        <v>4900</v>
      </c>
      <c r="G2483" t="s">
        <v>41</v>
      </c>
      <c r="H2483" t="s">
        <v>16</v>
      </c>
      <c r="I2483" t="s">
        <v>1818</v>
      </c>
      <c r="J2483" t="s">
        <v>1819</v>
      </c>
      <c r="K2483" t="s">
        <v>1809</v>
      </c>
      <c r="L2483" t="str">
        <f>HYPERLINK("https://business-monitor.ch/de/companies/297335-hunziker-partner-versicherungen-gmbh?utm_source=oberaargau","PROFIL ANSEHEN")</f>
        <v>PROFIL ANSEHEN</v>
      </c>
    </row>
    <row r="2484" spans="1:12" x14ac:dyDescent="0.2">
      <c r="A2484" t="s">
        <v>5755</v>
      </c>
      <c r="B2484" t="s">
        <v>5756</v>
      </c>
      <c r="C2484" t="s">
        <v>202</v>
      </c>
      <c r="E2484" t="s">
        <v>3980</v>
      </c>
      <c r="F2484">
        <v>4900</v>
      </c>
      <c r="G2484" t="s">
        <v>41</v>
      </c>
      <c r="H2484" t="s">
        <v>16</v>
      </c>
      <c r="I2484" t="s">
        <v>1841</v>
      </c>
      <c r="J2484" t="s">
        <v>1842</v>
      </c>
      <c r="K2484" t="s">
        <v>1809</v>
      </c>
      <c r="L2484" t="str">
        <f>HYPERLINK("https://business-monitor.ch/de/companies/520381-tcm-praxis-ju-gmbh?utm_source=oberaargau","PROFIL ANSEHEN")</f>
        <v>PROFIL ANSEHEN</v>
      </c>
    </row>
    <row r="2485" spans="1:12" x14ac:dyDescent="0.2">
      <c r="A2485" t="s">
        <v>3198</v>
      </c>
      <c r="B2485" t="s">
        <v>3199</v>
      </c>
      <c r="C2485" t="s">
        <v>1812</v>
      </c>
      <c r="E2485" t="s">
        <v>3200</v>
      </c>
      <c r="F2485">
        <v>4914</v>
      </c>
      <c r="G2485" t="s">
        <v>105</v>
      </c>
      <c r="H2485" t="s">
        <v>16</v>
      </c>
      <c r="I2485" t="s">
        <v>3201</v>
      </c>
      <c r="J2485" t="s">
        <v>3202</v>
      </c>
      <c r="K2485" t="s">
        <v>1809</v>
      </c>
      <c r="L2485" t="str">
        <f>HYPERLINK("https://business-monitor.ch/de/companies/287995-degi-toys-d-matarazzo?utm_source=oberaargau","PROFIL ANSEHEN")</f>
        <v>PROFIL ANSEHEN</v>
      </c>
    </row>
    <row r="2486" spans="1:12" x14ac:dyDescent="0.2">
      <c r="A2486" t="s">
        <v>5672</v>
      </c>
      <c r="B2486" t="s">
        <v>5673</v>
      </c>
      <c r="C2486" t="s">
        <v>202</v>
      </c>
      <c r="E2486" t="s">
        <v>5674</v>
      </c>
      <c r="F2486">
        <v>4952</v>
      </c>
      <c r="G2486" t="s">
        <v>474</v>
      </c>
      <c r="H2486" t="s">
        <v>16</v>
      </c>
      <c r="I2486" t="s">
        <v>464</v>
      </c>
      <c r="J2486" t="s">
        <v>465</v>
      </c>
      <c r="K2486" t="s">
        <v>1809</v>
      </c>
      <c r="L2486" t="str">
        <f>HYPERLINK("https://business-monitor.ch/de/companies/219838-metrabau-gmbh?utm_source=oberaargau","PROFIL ANSEHEN")</f>
        <v>PROFIL ANSEHEN</v>
      </c>
    </row>
    <row r="2487" spans="1:12" x14ac:dyDescent="0.2">
      <c r="A2487" t="s">
        <v>2142</v>
      </c>
      <c r="B2487" t="s">
        <v>2143</v>
      </c>
      <c r="C2487" t="s">
        <v>1812</v>
      </c>
      <c r="E2487" t="s">
        <v>1935</v>
      </c>
      <c r="F2487">
        <v>4932</v>
      </c>
      <c r="G2487" t="s">
        <v>325</v>
      </c>
      <c r="H2487" t="s">
        <v>16</v>
      </c>
      <c r="I2487" t="s">
        <v>175</v>
      </c>
      <c r="J2487" t="s">
        <v>176</v>
      </c>
      <c r="K2487" t="s">
        <v>1809</v>
      </c>
      <c r="L2487" t="str">
        <f>HYPERLINK("https://business-monitor.ch/de/companies/3799-carrosserie-l-hoogendoorn?utm_source=oberaargau","PROFIL ANSEHEN")</f>
        <v>PROFIL ANSEHEN</v>
      </c>
    </row>
    <row r="2488" spans="1:12" x14ac:dyDescent="0.2">
      <c r="A2488" t="s">
        <v>7613</v>
      </c>
      <c r="B2488" t="s">
        <v>7614</v>
      </c>
      <c r="C2488" t="s">
        <v>202</v>
      </c>
      <c r="E2488" t="s">
        <v>5194</v>
      </c>
      <c r="F2488">
        <v>4900</v>
      </c>
      <c r="G2488" t="s">
        <v>41</v>
      </c>
      <c r="H2488" t="s">
        <v>16</v>
      </c>
      <c r="I2488" t="s">
        <v>824</v>
      </c>
      <c r="J2488" t="s">
        <v>825</v>
      </c>
      <c r="K2488" t="s">
        <v>1809</v>
      </c>
      <c r="L2488" t="str">
        <f>HYPERLINK("https://business-monitor.ch/de/companies/663600-rozmaxx-gmbh?utm_source=oberaargau","PROFIL ANSEHEN")</f>
        <v>PROFIL ANSEHEN</v>
      </c>
    </row>
    <row r="2489" spans="1:12" x14ac:dyDescent="0.2">
      <c r="A2489" t="s">
        <v>5654</v>
      </c>
      <c r="B2489" t="s">
        <v>12913</v>
      </c>
      <c r="C2489" t="s">
        <v>202</v>
      </c>
      <c r="E2489" t="s">
        <v>12912</v>
      </c>
      <c r="F2489">
        <v>3380</v>
      </c>
      <c r="G2489" t="s">
        <v>29</v>
      </c>
      <c r="H2489" t="s">
        <v>16</v>
      </c>
      <c r="I2489" t="s">
        <v>5372</v>
      </c>
      <c r="J2489" t="s">
        <v>5373</v>
      </c>
      <c r="K2489" t="s">
        <v>1809</v>
      </c>
      <c r="L2489" t="str">
        <f>HYPERLINK("https://business-monitor.ch/de/companies/236985-bargetzi-grabmalkunst-gmbh?utm_source=oberaargau","PROFIL ANSEHEN")</f>
        <v>PROFIL ANSEHEN</v>
      </c>
    </row>
    <row r="2490" spans="1:12" x14ac:dyDescent="0.2">
      <c r="A2490" t="s">
        <v>3059</v>
      </c>
      <c r="B2490" t="s">
        <v>6244</v>
      </c>
      <c r="C2490" t="s">
        <v>1812</v>
      </c>
      <c r="E2490" t="s">
        <v>6245</v>
      </c>
      <c r="F2490">
        <v>3365</v>
      </c>
      <c r="G2490" t="s">
        <v>1008</v>
      </c>
      <c r="H2490" t="s">
        <v>16</v>
      </c>
      <c r="I2490" t="s">
        <v>1535</v>
      </c>
      <c r="J2490" t="s">
        <v>1536</v>
      </c>
      <c r="K2490" t="s">
        <v>1809</v>
      </c>
      <c r="L2490" t="str">
        <f>HYPERLINK("https://business-monitor.ch/de/companies/353599-garten-dekor-alexandra-buerki?utm_source=oberaargau","PROFIL ANSEHEN")</f>
        <v>PROFIL ANSEHEN</v>
      </c>
    </row>
    <row r="2491" spans="1:12" x14ac:dyDescent="0.2">
      <c r="A2491" t="s">
        <v>8018</v>
      </c>
      <c r="B2491" t="s">
        <v>8019</v>
      </c>
      <c r="C2491" t="s">
        <v>1812</v>
      </c>
      <c r="E2491" t="s">
        <v>8020</v>
      </c>
      <c r="F2491">
        <v>4911</v>
      </c>
      <c r="G2491" t="s">
        <v>1005</v>
      </c>
      <c r="H2491" t="s">
        <v>16</v>
      </c>
      <c r="I2491" t="s">
        <v>1401</v>
      </c>
      <c r="J2491" t="s">
        <v>1402</v>
      </c>
      <c r="K2491" t="s">
        <v>1809</v>
      </c>
      <c r="L2491" t="str">
        <f>HYPERLINK("https://business-monitor.ch/de/companies/421667-natur-flor-kueng?utm_source=oberaargau","PROFIL ANSEHEN")</f>
        <v>PROFIL ANSEHEN</v>
      </c>
    </row>
    <row r="2492" spans="1:12" x14ac:dyDescent="0.2">
      <c r="A2492" t="s">
        <v>10725</v>
      </c>
      <c r="B2492" t="s">
        <v>10726</v>
      </c>
      <c r="C2492" t="s">
        <v>1812</v>
      </c>
      <c r="E2492" t="s">
        <v>10727</v>
      </c>
      <c r="F2492">
        <v>4900</v>
      </c>
      <c r="G2492" t="s">
        <v>41</v>
      </c>
      <c r="H2492" t="s">
        <v>16</v>
      </c>
      <c r="I2492" t="s">
        <v>1337</v>
      </c>
      <c r="J2492" t="s">
        <v>1338</v>
      </c>
      <c r="K2492" t="s">
        <v>1809</v>
      </c>
      <c r="L2492" t="str">
        <f>HYPERLINK("https://business-monitor.ch/de/companies/212263-sbs-bike-accessories-dietmar-schlug?utm_source=oberaargau","PROFIL ANSEHEN")</f>
        <v>PROFIL ANSEHEN</v>
      </c>
    </row>
    <row r="2493" spans="1:12" x14ac:dyDescent="0.2">
      <c r="A2493" t="s">
        <v>7425</v>
      </c>
      <c r="B2493" t="s">
        <v>7426</v>
      </c>
      <c r="C2493" t="s">
        <v>202</v>
      </c>
      <c r="E2493" t="s">
        <v>3298</v>
      </c>
      <c r="F2493">
        <v>4914</v>
      </c>
      <c r="G2493" t="s">
        <v>105</v>
      </c>
      <c r="H2493" t="s">
        <v>16</v>
      </c>
      <c r="I2493" t="s">
        <v>642</v>
      </c>
      <c r="J2493" t="s">
        <v>643</v>
      </c>
      <c r="K2493" t="s">
        <v>1809</v>
      </c>
      <c r="L2493" t="str">
        <f>HYPERLINK("https://business-monitor.ch/de/companies/951902-innovation-cars-gmbh?utm_source=oberaargau","PROFIL ANSEHEN")</f>
        <v>PROFIL ANSEHEN</v>
      </c>
    </row>
    <row r="2494" spans="1:12" x14ac:dyDescent="0.2">
      <c r="A2494" t="s">
        <v>2409</v>
      </c>
      <c r="B2494" t="s">
        <v>2410</v>
      </c>
      <c r="C2494" t="s">
        <v>1812</v>
      </c>
      <c r="D2494" t="s">
        <v>2411</v>
      </c>
      <c r="F2494">
        <v>3380</v>
      </c>
      <c r="G2494" t="s">
        <v>2412</v>
      </c>
      <c r="H2494" t="s">
        <v>16</v>
      </c>
      <c r="I2494" t="s">
        <v>1409</v>
      </c>
      <c r="J2494" t="s">
        <v>1410</v>
      </c>
      <c r="K2494" t="s">
        <v>1809</v>
      </c>
      <c r="L2494" t="str">
        <f>HYPERLINK("https://business-monitor.ch/de/companies/11935-jakob-oberli-meier?utm_source=oberaargau","PROFIL ANSEHEN")</f>
        <v>PROFIL ANSEHEN</v>
      </c>
    </row>
    <row r="2495" spans="1:12" x14ac:dyDescent="0.2">
      <c r="A2495" t="s">
        <v>7652</v>
      </c>
      <c r="B2495" t="s">
        <v>7653</v>
      </c>
      <c r="C2495" t="s">
        <v>13</v>
      </c>
      <c r="E2495" t="s">
        <v>124</v>
      </c>
      <c r="F2495">
        <v>4900</v>
      </c>
      <c r="G2495" t="s">
        <v>41</v>
      </c>
      <c r="H2495" t="s">
        <v>16</v>
      </c>
      <c r="I2495" t="s">
        <v>182</v>
      </c>
      <c r="J2495" t="s">
        <v>183</v>
      </c>
      <c r="K2495" t="s">
        <v>1809</v>
      </c>
      <c r="L2495" t="str">
        <f>HYPERLINK("https://business-monitor.ch/de/companies/637880-kasema-ag?utm_source=oberaargau","PROFIL ANSEHEN")</f>
        <v>PROFIL ANSEHEN</v>
      </c>
    </row>
    <row r="2496" spans="1:12" x14ac:dyDescent="0.2">
      <c r="A2496" t="s">
        <v>7108</v>
      </c>
      <c r="B2496" t="s">
        <v>7109</v>
      </c>
      <c r="C2496" t="s">
        <v>1812</v>
      </c>
      <c r="E2496" t="s">
        <v>7110</v>
      </c>
      <c r="F2496">
        <v>4933</v>
      </c>
      <c r="G2496" t="s">
        <v>3812</v>
      </c>
      <c r="H2496" t="s">
        <v>16</v>
      </c>
      <c r="I2496" t="s">
        <v>2849</v>
      </c>
      <c r="J2496" t="s">
        <v>2850</v>
      </c>
      <c r="K2496" t="s">
        <v>1809</v>
      </c>
      <c r="L2496" t="str">
        <f>HYPERLINK("https://business-monitor.ch/de/companies/1040309-nando-stoecklin?utm_source=oberaargau","PROFIL ANSEHEN")</f>
        <v>PROFIL ANSEHEN</v>
      </c>
    </row>
    <row r="2497" spans="1:12" x14ac:dyDescent="0.2">
      <c r="A2497" t="s">
        <v>7210</v>
      </c>
      <c r="B2497" t="s">
        <v>7211</v>
      </c>
      <c r="C2497" t="s">
        <v>202</v>
      </c>
      <c r="D2497" t="s">
        <v>7212</v>
      </c>
      <c r="E2497" t="s">
        <v>7213</v>
      </c>
      <c r="F2497">
        <v>4934</v>
      </c>
      <c r="G2497" t="s">
        <v>670</v>
      </c>
      <c r="H2497" t="s">
        <v>16</v>
      </c>
      <c r="I2497" t="s">
        <v>182</v>
      </c>
      <c r="J2497" t="s">
        <v>183</v>
      </c>
      <c r="K2497" t="s">
        <v>1809</v>
      </c>
      <c r="L2497" t="str">
        <f>HYPERLINK("https://business-monitor.ch/de/companies/1034544-nobs-holding-gmbh?utm_source=oberaargau","PROFIL ANSEHEN")</f>
        <v>PROFIL ANSEHEN</v>
      </c>
    </row>
    <row r="2498" spans="1:12" x14ac:dyDescent="0.2">
      <c r="A2498" t="s">
        <v>11708</v>
      </c>
      <c r="B2498" t="s">
        <v>11709</v>
      </c>
      <c r="C2498" t="s">
        <v>1812</v>
      </c>
      <c r="E2498" t="s">
        <v>11710</v>
      </c>
      <c r="F2498">
        <v>4922</v>
      </c>
      <c r="G2498" t="s">
        <v>99</v>
      </c>
      <c r="H2498" t="s">
        <v>16</v>
      </c>
      <c r="I2498" t="s">
        <v>1860</v>
      </c>
      <c r="J2498" t="s">
        <v>1861</v>
      </c>
      <c r="K2498" t="s">
        <v>1809</v>
      </c>
      <c r="L2498" t="str">
        <f>HYPERLINK("https://business-monitor.ch/de/companies/1160421-coiffure-staerne-klar-sabine-heiniger?utm_source=oberaargau","PROFIL ANSEHEN")</f>
        <v>PROFIL ANSEHEN</v>
      </c>
    </row>
    <row r="2499" spans="1:12" x14ac:dyDescent="0.2">
      <c r="A2499" t="s">
        <v>4931</v>
      </c>
      <c r="B2499" t="s">
        <v>4932</v>
      </c>
      <c r="C2499" t="s">
        <v>1812</v>
      </c>
      <c r="E2499" t="s">
        <v>4933</v>
      </c>
      <c r="F2499">
        <v>4536</v>
      </c>
      <c r="G2499" t="s">
        <v>1395</v>
      </c>
      <c r="H2499" t="s">
        <v>16</v>
      </c>
      <c r="I2499" t="s">
        <v>781</v>
      </c>
      <c r="J2499" t="s">
        <v>782</v>
      </c>
      <c r="K2499" t="s">
        <v>1809</v>
      </c>
      <c r="L2499" t="str">
        <f>HYPERLINK("https://business-monitor.ch/de/companies/350640-a-stalder-landw-lohnarbeiten?utm_source=oberaargau","PROFIL ANSEHEN")</f>
        <v>PROFIL ANSEHEN</v>
      </c>
    </row>
    <row r="2500" spans="1:12" x14ac:dyDescent="0.2">
      <c r="A2500" t="s">
        <v>6332</v>
      </c>
      <c r="B2500" t="s">
        <v>6333</v>
      </c>
      <c r="C2500" t="s">
        <v>202</v>
      </c>
      <c r="E2500" t="s">
        <v>5360</v>
      </c>
      <c r="F2500">
        <v>4950</v>
      </c>
      <c r="G2500" t="s">
        <v>15</v>
      </c>
      <c r="H2500" t="s">
        <v>16</v>
      </c>
      <c r="I2500" t="s">
        <v>6334</v>
      </c>
      <c r="J2500" t="s">
        <v>6335</v>
      </c>
      <c r="K2500" t="s">
        <v>1809</v>
      </c>
      <c r="L2500" t="str">
        <f>HYPERLINK("https://business-monitor.ch/de/companies/326885-skh-di-rosa-gmbh?utm_source=oberaargau","PROFIL ANSEHEN")</f>
        <v>PROFIL ANSEHEN</v>
      </c>
    </row>
    <row r="2501" spans="1:12" x14ac:dyDescent="0.2">
      <c r="A2501" t="s">
        <v>7801</v>
      </c>
      <c r="B2501" t="s">
        <v>7802</v>
      </c>
      <c r="C2501" t="s">
        <v>1812</v>
      </c>
      <c r="E2501" t="s">
        <v>7803</v>
      </c>
      <c r="F2501">
        <v>3476</v>
      </c>
      <c r="G2501" t="s">
        <v>3506</v>
      </c>
      <c r="H2501" t="s">
        <v>16</v>
      </c>
      <c r="I2501" t="s">
        <v>2748</v>
      </c>
      <c r="J2501" t="s">
        <v>2749</v>
      </c>
      <c r="K2501" t="s">
        <v>1809</v>
      </c>
      <c r="L2501" t="str">
        <f>HYPERLINK("https://business-monitor.ch/de/companies/547930-stroemberg-s-haus-und-hofwirtschaftsservice?utm_source=oberaargau","PROFIL ANSEHEN")</f>
        <v>PROFIL ANSEHEN</v>
      </c>
    </row>
    <row r="2502" spans="1:12" x14ac:dyDescent="0.2">
      <c r="A2502" t="s">
        <v>3191</v>
      </c>
      <c r="B2502" t="s">
        <v>3192</v>
      </c>
      <c r="C2502" t="s">
        <v>202</v>
      </c>
      <c r="E2502" t="s">
        <v>8492</v>
      </c>
      <c r="F2502">
        <v>4950</v>
      </c>
      <c r="G2502" t="s">
        <v>15</v>
      </c>
      <c r="H2502" t="s">
        <v>16</v>
      </c>
      <c r="I2502" t="s">
        <v>1337</v>
      </c>
      <c r="J2502" t="s">
        <v>1338</v>
      </c>
      <c r="K2502" t="s">
        <v>1809</v>
      </c>
      <c r="L2502" t="str">
        <f>HYPERLINK("https://business-monitor.ch/de/companies/289415-camp-athletics-gmbh?utm_source=oberaargau","PROFIL ANSEHEN")</f>
        <v>PROFIL ANSEHEN</v>
      </c>
    </row>
    <row r="2503" spans="1:12" x14ac:dyDescent="0.2">
      <c r="A2503" t="s">
        <v>7217</v>
      </c>
      <c r="B2503" t="s">
        <v>7218</v>
      </c>
      <c r="C2503" t="s">
        <v>202</v>
      </c>
      <c r="E2503" t="s">
        <v>1823</v>
      </c>
      <c r="F2503">
        <v>4914</v>
      </c>
      <c r="G2503" t="s">
        <v>105</v>
      </c>
      <c r="H2503" t="s">
        <v>16</v>
      </c>
      <c r="I2503" t="s">
        <v>733</v>
      </c>
      <c r="J2503" t="s">
        <v>734</v>
      </c>
      <c r="K2503" t="s">
        <v>1809</v>
      </c>
      <c r="L2503" t="str">
        <f>HYPERLINK("https://business-monitor.ch/de/companies/1033888-3g-automobile-gmbh?utm_source=oberaargau","PROFIL ANSEHEN")</f>
        <v>PROFIL ANSEHEN</v>
      </c>
    </row>
    <row r="2504" spans="1:12" x14ac:dyDescent="0.2">
      <c r="A2504" t="s">
        <v>13825</v>
      </c>
      <c r="B2504" t="s">
        <v>13826</v>
      </c>
      <c r="C2504" t="s">
        <v>13</v>
      </c>
      <c r="E2504" t="s">
        <v>3414</v>
      </c>
      <c r="F2504">
        <v>4914</v>
      </c>
      <c r="G2504" t="s">
        <v>105</v>
      </c>
      <c r="H2504" t="s">
        <v>16</v>
      </c>
      <c r="I2504" t="s">
        <v>1841</v>
      </c>
      <c r="J2504" t="s">
        <v>1842</v>
      </c>
      <c r="K2504" t="s">
        <v>1809</v>
      </c>
      <c r="L2504" t="str">
        <f>HYPERLINK("https://business-monitor.ch/de/companies/1051680-podologie-yellow-ag?utm_source=oberaargau","PROFIL ANSEHEN")</f>
        <v>PROFIL ANSEHEN</v>
      </c>
    </row>
    <row r="2505" spans="1:12" x14ac:dyDescent="0.2">
      <c r="A2505" t="s">
        <v>5280</v>
      </c>
      <c r="B2505" t="s">
        <v>5281</v>
      </c>
      <c r="C2505" t="s">
        <v>13</v>
      </c>
      <c r="D2505" t="s">
        <v>5282</v>
      </c>
      <c r="E2505" t="s">
        <v>5283</v>
      </c>
      <c r="F2505">
        <v>4950</v>
      </c>
      <c r="G2505" t="s">
        <v>15</v>
      </c>
      <c r="H2505" t="s">
        <v>16</v>
      </c>
      <c r="I2505" t="s">
        <v>551</v>
      </c>
      <c r="J2505" t="s">
        <v>552</v>
      </c>
      <c r="K2505" t="s">
        <v>1809</v>
      </c>
      <c r="L2505" t="str">
        <f>HYPERLINK("https://business-monitor.ch/de/companies/383356-corporate-action-ventures-ag?utm_source=oberaargau","PROFIL ANSEHEN")</f>
        <v>PROFIL ANSEHEN</v>
      </c>
    </row>
    <row r="2506" spans="1:12" x14ac:dyDescent="0.2">
      <c r="A2506" t="s">
        <v>3704</v>
      </c>
      <c r="B2506" t="s">
        <v>3705</v>
      </c>
      <c r="C2506" t="s">
        <v>1812</v>
      </c>
      <c r="E2506" t="s">
        <v>3706</v>
      </c>
      <c r="F2506">
        <v>4539</v>
      </c>
      <c r="G2506" t="s">
        <v>23</v>
      </c>
      <c r="H2506" t="s">
        <v>16</v>
      </c>
      <c r="I2506" t="s">
        <v>1470</v>
      </c>
      <c r="J2506" t="s">
        <v>1471</v>
      </c>
      <c r="K2506" t="s">
        <v>1809</v>
      </c>
      <c r="L2506" t="str">
        <f>HYPERLINK("https://business-monitor.ch/de/companies/18178-bausanierungen-berger-samuel?utm_source=oberaargau","PROFIL ANSEHEN")</f>
        <v>PROFIL ANSEHEN</v>
      </c>
    </row>
    <row r="2507" spans="1:12" x14ac:dyDescent="0.2">
      <c r="A2507" t="s">
        <v>2720</v>
      </c>
      <c r="B2507" t="s">
        <v>11659</v>
      </c>
      <c r="C2507" t="s">
        <v>13</v>
      </c>
      <c r="D2507" t="s">
        <v>11660</v>
      </c>
      <c r="E2507" t="s">
        <v>3221</v>
      </c>
      <c r="F2507">
        <v>3380</v>
      </c>
      <c r="G2507" t="s">
        <v>29</v>
      </c>
      <c r="H2507" t="s">
        <v>16</v>
      </c>
      <c r="I2507" t="s">
        <v>1898</v>
      </c>
      <c r="J2507" t="s">
        <v>1899</v>
      </c>
      <c r="K2507" t="s">
        <v>1809</v>
      </c>
      <c r="L2507" t="str">
        <f>HYPERLINK("https://business-monitor.ch/de/companies/435757-kalorienreich-ag?utm_source=oberaargau","PROFIL ANSEHEN")</f>
        <v>PROFIL ANSEHEN</v>
      </c>
    </row>
    <row r="2508" spans="1:12" x14ac:dyDescent="0.2">
      <c r="A2508" t="s">
        <v>10427</v>
      </c>
      <c r="B2508" t="s">
        <v>10428</v>
      </c>
      <c r="C2508" t="s">
        <v>1812</v>
      </c>
      <c r="E2508" t="s">
        <v>10429</v>
      </c>
      <c r="F2508">
        <v>4900</v>
      </c>
      <c r="G2508" t="s">
        <v>41</v>
      </c>
      <c r="H2508" t="s">
        <v>16</v>
      </c>
      <c r="I2508" t="s">
        <v>5543</v>
      </c>
      <c r="J2508" t="s">
        <v>5544</v>
      </c>
      <c r="K2508" t="s">
        <v>1809</v>
      </c>
      <c r="L2508" t="str">
        <f>HYPERLINK("https://business-monitor.ch/de/companies/235405-musik-kleinert?utm_source=oberaargau","PROFIL ANSEHEN")</f>
        <v>PROFIL ANSEHEN</v>
      </c>
    </row>
    <row r="2509" spans="1:12" x14ac:dyDescent="0.2">
      <c r="A2509" t="s">
        <v>8067</v>
      </c>
      <c r="B2509" t="s">
        <v>8068</v>
      </c>
      <c r="C2509" t="s">
        <v>2178</v>
      </c>
      <c r="E2509" t="s">
        <v>8069</v>
      </c>
      <c r="F2509">
        <v>4937</v>
      </c>
      <c r="G2509" t="s">
        <v>951</v>
      </c>
      <c r="H2509" t="s">
        <v>16</v>
      </c>
      <c r="I2509" t="s">
        <v>162</v>
      </c>
      <c r="J2509" t="s">
        <v>163</v>
      </c>
      <c r="K2509" t="s">
        <v>1809</v>
      </c>
      <c r="L2509" t="str">
        <f>HYPERLINK("https://business-monitor.ch/de/companies/703174-glas-troesch-ag-zweigniederlassung-rail?utm_source=oberaargau","PROFIL ANSEHEN")</f>
        <v>PROFIL ANSEHEN</v>
      </c>
    </row>
    <row r="2510" spans="1:12" x14ac:dyDescent="0.2">
      <c r="A2510" t="s">
        <v>13637</v>
      </c>
      <c r="B2510" t="s">
        <v>13638</v>
      </c>
      <c r="C2510" t="s">
        <v>13</v>
      </c>
      <c r="E2510" t="s">
        <v>5238</v>
      </c>
      <c r="F2510">
        <v>4914</v>
      </c>
      <c r="G2510" t="s">
        <v>105</v>
      </c>
      <c r="H2510" t="s">
        <v>16</v>
      </c>
      <c r="I2510" t="s">
        <v>24</v>
      </c>
      <c r="J2510" t="s">
        <v>25</v>
      </c>
      <c r="K2510" t="s">
        <v>1809</v>
      </c>
      <c r="L2510" t="str">
        <f>HYPERLINK("https://business-monitor.ch/de/companies/438506-ecm4you-ag?utm_source=oberaargau","PROFIL ANSEHEN")</f>
        <v>PROFIL ANSEHEN</v>
      </c>
    </row>
    <row r="2511" spans="1:12" x14ac:dyDescent="0.2">
      <c r="A2511" t="s">
        <v>2888</v>
      </c>
      <c r="B2511" t="s">
        <v>2889</v>
      </c>
      <c r="C2511" t="s">
        <v>202</v>
      </c>
      <c r="E2511" t="s">
        <v>2890</v>
      </c>
      <c r="F2511">
        <v>4950</v>
      </c>
      <c r="G2511" t="s">
        <v>15</v>
      </c>
      <c r="H2511" t="s">
        <v>16</v>
      </c>
      <c r="I2511" t="s">
        <v>824</v>
      </c>
      <c r="J2511" t="s">
        <v>825</v>
      </c>
      <c r="K2511" t="s">
        <v>1809</v>
      </c>
      <c r="L2511" t="str">
        <f>HYPERLINK("https://business-monitor.ch/de/companies/400451-cadi-gastro-gmbh?utm_source=oberaargau","PROFIL ANSEHEN")</f>
        <v>PROFIL ANSEHEN</v>
      </c>
    </row>
    <row r="2512" spans="1:12" x14ac:dyDescent="0.2">
      <c r="A2512" t="s">
        <v>8021</v>
      </c>
      <c r="B2512" t="s">
        <v>11876</v>
      </c>
      <c r="C2512" t="s">
        <v>1812</v>
      </c>
      <c r="E2512" t="s">
        <v>8022</v>
      </c>
      <c r="F2512">
        <v>4914</v>
      </c>
      <c r="G2512" t="s">
        <v>105</v>
      </c>
      <c r="H2512" t="s">
        <v>16</v>
      </c>
      <c r="I2512" t="s">
        <v>7046</v>
      </c>
      <c r="J2512" t="s">
        <v>7047</v>
      </c>
      <c r="K2512" t="s">
        <v>1809</v>
      </c>
      <c r="L2512" t="str">
        <f>HYPERLINK("https://business-monitor.ch/de/companies/129274-saladin-reisen?utm_source=oberaargau","PROFIL ANSEHEN")</f>
        <v>PROFIL ANSEHEN</v>
      </c>
    </row>
    <row r="2513" spans="1:12" x14ac:dyDescent="0.2">
      <c r="A2513" t="s">
        <v>9415</v>
      </c>
      <c r="B2513" t="s">
        <v>9416</v>
      </c>
      <c r="C2513" t="s">
        <v>1827</v>
      </c>
      <c r="E2513" t="s">
        <v>1796</v>
      </c>
      <c r="F2513">
        <v>4950</v>
      </c>
      <c r="G2513" t="s">
        <v>15</v>
      </c>
      <c r="H2513" t="s">
        <v>16</v>
      </c>
      <c r="I2513" t="s">
        <v>2378</v>
      </c>
      <c r="J2513" t="s">
        <v>2379</v>
      </c>
      <c r="K2513" t="s">
        <v>1809</v>
      </c>
      <c r="L2513" t="str">
        <f>HYPERLINK("https://business-monitor.ch/de/companies/22701-eberle-rickli?utm_source=oberaargau","PROFIL ANSEHEN")</f>
        <v>PROFIL ANSEHEN</v>
      </c>
    </row>
    <row r="2514" spans="1:12" x14ac:dyDescent="0.2">
      <c r="A2514" t="s">
        <v>4362</v>
      </c>
      <c r="B2514" t="s">
        <v>4363</v>
      </c>
      <c r="C2514" t="s">
        <v>1812</v>
      </c>
      <c r="E2514" t="s">
        <v>11462</v>
      </c>
      <c r="F2514">
        <v>3360</v>
      </c>
      <c r="G2514" t="s">
        <v>35</v>
      </c>
      <c r="H2514" t="s">
        <v>16</v>
      </c>
      <c r="I2514" t="s">
        <v>1744</v>
      </c>
      <c r="J2514" t="s">
        <v>1745</v>
      </c>
      <c r="K2514" t="s">
        <v>1809</v>
      </c>
      <c r="L2514" t="str">
        <f>HYPERLINK("https://business-monitor.ch/de/companies/954440-milev-fuer-alles-inh-mario-milev?utm_source=oberaargau","PROFIL ANSEHEN")</f>
        <v>PROFIL ANSEHEN</v>
      </c>
    </row>
    <row r="2515" spans="1:12" x14ac:dyDescent="0.2">
      <c r="A2515" t="s">
        <v>2152</v>
      </c>
      <c r="B2515" t="s">
        <v>2153</v>
      </c>
      <c r="C2515" t="s">
        <v>1812</v>
      </c>
      <c r="E2515" t="s">
        <v>2154</v>
      </c>
      <c r="F2515">
        <v>4950</v>
      </c>
      <c r="G2515" t="s">
        <v>15</v>
      </c>
      <c r="H2515" t="s">
        <v>16</v>
      </c>
      <c r="I2515" t="s">
        <v>613</v>
      </c>
      <c r="J2515" t="s">
        <v>614</v>
      </c>
      <c r="K2515" t="s">
        <v>1809</v>
      </c>
      <c r="L2515" t="str">
        <f>HYPERLINK("https://business-monitor.ch/de/companies/93564-m-flueckiger?utm_source=oberaargau","PROFIL ANSEHEN")</f>
        <v>PROFIL ANSEHEN</v>
      </c>
    </row>
    <row r="2516" spans="1:12" x14ac:dyDescent="0.2">
      <c r="A2516" t="s">
        <v>10587</v>
      </c>
      <c r="B2516" t="s">
        <v>10588</v>
      </c>
      <c r="C2516" t="s">
        <v>202</v>
      </c>
      <c r="E2516" t="s">
        <v>8110</v>
      </c>
      <c r="F2516">
        <v>4900</v>
      </c>
      <c r="G2516" t="s">
        <v>41</v>
      </c>
      <c r="H2516" t="s">
        <v>16</v>
      </c>
      <c r="I2516" t="s">
        <v>1296</v>
      </c>
      <c r="J2516" t="s">
        <v>1297</v>
      </c>
      <c r="K2516" t="s">
        <v>1809</v>
      </c>
      <c r="L2516" t="str">
        <f>HYPERLINK("https://business-monitor.ch/de/companies/271792-himmelblau-gmbh?utm_source=oberaargau","PROFIL ANSEHEN")</f>
        <v>PROFIL ANSEHEN</v>
      </c>
    </row>
    <row r="2517" spans="1:12" x14ac:dyDescent="0.2">
      <c r="A2517" t="s">
        <v>8466</v>
      </c>
      <c r="B2517" t="s">
        <v>8467</v>
      </c>
      <c r="C2517" t="s">
        <v>13</v>
      </c>
      <c r="D2517" t="s">
        <v>8468</v>
      </c>
      <c r="E2517" t="s">
        <v>1043</v>
      </c>
      <c r="F2517">
        <v>4932</v>
      </c>
      <c r="G2517" t="s">
        <v>325</v>
      </c>
      <c r="H2517" t="s">
        <v>16</v>
      </c>
      <c r="I2517" t="s">
        <v>935</v>
      </c>
      <c r="J2517" t="s">
        <v>936</v>
      </c>
      <c r="K2517" t="s">
        <v>1809</v>
      </c>
      <c r="L2517" t="str">
        <f>HYPERLINK("https://business-monitor.ch/de/companies/455984-gm-immotrade-ag?utm_source=oberaargau","PROFIL ANSEHEN")</f>
        <v>PROFIL ANSEHEN</v>
      </c>
    </row>
    <row r="2518" spans="1:12" x14ac:dyDescent="0.2">
      <c r="A2518" t="s">
        <v>13576</v>
      </c>
      <c r="B2518" t="s">
        <v>13577</v>
      </c>
      <c r="C2518" t="s">
        <v>13</v>
      </c>
      <c r="E2518" t="s">
        <v>5499</v>
      </c>
      <c r="F2518">
        <v>4950</v>
      </c>
      <c r="G2518" t="s">
        <v>15</v>
      </c>
      <c r="H2518" t="s">
        <v>16</v>
      </c>
      <c r="I2518" t="s">
        <v>642</v>
      </c>
      <c r="J2518" t="s">
        <v>643</v>
      </c>
      <c r="K2518" t="s">
        <v>1809</v>
      </c>
      <c r="L2518" t="str">
        <f>HYPERLINK("https://business-monitor.ch/de/companies/1265869-garage-rupli-ag?utm_source=oberaargau","PROFIL ANSEHEN")</f>
        <v>PROFIL ANSEHEN</v>
      </c>
    </row>
    <row r="2519" spans="1:12" x14ac:dyDescent="0.2">
      <c r="A2519" t="s">
        <v>13446</v>
      </c>
      <c r="B2519" t="s">
        <v>13447</v>
      </c>
      <c r="C2519" t="s">
        <v>13</v>
      </c>
      <c r="E2519" t="s">
        <v>13448</v>
      </c>
      <c r="F2519">
        <v>4922</v>
      </c>
      <c r="G2519" t="s">
        <v>1318</v>
      </c>
      <c r="H2519" t="s">
        <v>16</v>
      </c>
      <c r="I2519" t="s">
        <v>4577</v>
      </c>
      <c r="J2519" t="s">
        <v>4578</v>
      </c>
      <c r="K2519" t="s">
        <v>1809</v>
      </c>
      <c r="L2519" t="str">
        <f>HYPERLINK("https://business-monitor.ch/de/companies/1243872-atelier-98-ag?utm_source=oberaargau","PROFIL ANSEHEN")</f>
        <v>PROFIL ANSEHEN</v>
      </c>
    </row>
    <row r="2520" spans="1:12" x14ac:dyDescent="0.2">
      <c r="A2520" t="s">
        <v>14240</v>
      </c>
      <c r="B2520" t="s">
        <v>14241</v>
      </c>
      <c r="C2520" t="s">
        <v>202</v>
      </c>
      <c r="E2520" t="s">
        <v>6508</v>
      </c>
      <c r="F2520">
        <v>3360</v>
      </c>
      <c r="G2520" t="s">
        <v>35</v>
      </c>
      <c r="H2520" t="s">
        <v>16</v>
      </c>
      <c r="I2520" t="s">
        <v>72</v>
      </c>
      <c r="J2520" t="s">
        <v>73</v>
      </c>
      <c r="K2520" t="s">
        <v>1809</v>
      </c>
      <c r="L2520" t="str">
        <f>HYPERLINK("https://business-monitor.ch/de/companies/1295919-liyame-gastro-gmbh?utm_source=oberaargau","PROFIL ANSEHEN")</f>
        <v>PROFIL ANSEHEN</v>
      </c>
    </row>
    <row r="2521" spans="1:12" x14ac:dyDescent="0.2">
      <c r="A2521" t="s">
        <v>14314</v>
      </c>
      <c r="B2521" t="s">
        <v>14315</v>
      </c>
      <c r="C2521" t="s">
        <v>202</v>
      </c>
      <c r="E2521" t="s">
        <v>13718</v>
      </c>
      <c r="F2521">
        <v>4900</v>
      </c>
      <c r="G2521" t="s">
        <v>41</v>
      </c>
      <c r="H2521" t="s">
        <v>16</v>
      </c>
      <c r="I2521" t="s">
        <v>858</v>
      </c>
      <c r="J2521" t="s">
        <v>859</v>
      </c>
      <c r="K2521" t="s">
        <v>1809</v>
      </c>
      <c r="L2521" t="str">
        <f>HYPERLINK("https://business-monitor.ch/de/companies/1295956-glanztech-pulverbeschichtungen-gmbh?utm_source=oberaargau","PROFIL ANSEHEN")</f>
        <v>PROFIL ANSEHEN</v>
      </c>
    </row>
    <row r="2522" spans="1:12" x14ac:dyDescent="0.2">
      <c r="A2522" t="s">
        <v>1019</v>
      </c>
      <c r="B2522" t="s">
        <v>1020</v>
      </c>
      <c r="C2522" t="s">
        <v>202</v>
      </c>
      <c r="E2522" t="s">
        <v>1021</v>
      </c>
      <c r="F2522">
        <v>4943</v>
      </c>
      <c r="G2522" t="s">
        <v>1022</v>
      </c>
      <c r="H2522" t="s">
        <v>16</v>
      </c>
      <c r="I2522" t="s">
        <v>935</v>
      </c>
      <c r="J2522" t="s">
        <v>936</v>
      </c>
      <c r="K2522" t="s">
        <v>1809</v>
      </c>
      <c r="L2522" t="str">
        <f>HYPERLINK("https://business-monitor.ch/de/companies/206065-schneebergerhaus-gmbh?utm_source=oberaargau","PROFIL ANSEHEN")</f>
        <v>PROFIL ANSEHEN</v>
      </c>
    </row>
    <row r="2523" spans="1:12" x14ac:dyDescent="0.2">
      <c r="A2523" t="s">
        <v>10193</v>
      </c>
      <c r="B2523" t="s">
        <v>10194</v>
      </c>
      <c r="C2523" t="s">
        <v>202</v>
      </c>
      <c r="E2523" t="s">
        <v>8222</v>
      </c>
      <c r="F2523">
        <v>4950</v>
      </c>
      <c r="G2523" t="s">
        <v>15</v>
      </c>
      <c r="H2523" t="s">
        <v>16</v>
      </c>
      <c r="I2523" t="s">
        <v>59</v>
      </c>
      <c r="J2523" t="s">
        <v>60</v>
      </c>
      <c r="K2523" t="s">
        <v>1809</v>
      </c>
      <c r="L2523" t="str">
        <f>HYPERLINK("https://business-monitor.ch/de/companies/628499-naegeli-luethi-gastro-gmbh?utm_source=oberaargau","PROFIL ANSEHEN")</f>
        <v>PROFIL ANSEHEN</v>
      </c>
    </row>
    <row r="2524" spans="1:12" x14ac:dyDescent="0.2">
      <c r="A2524" t="s">
        <v>4603</v>
      </c>
      <c r="B2524" t="s">
        <v>4604</v>
      </c>
      <c r="C2524" t="s">
        <v>1812</v>
      </c>
      <c r="E2524" t="s">
        <v>4605</v>
      </c>
      <c r="F2524">
        <v>3464</v>
      </c>
      <c r="G2524" t="s">
        <v>3044</v>
      </c>
      <c r="H2524" t="s">
        <v>16</v>
      </c>
      <c r="I2524" t="s">
        <v>2438</v>
      </c>
      <c r="J2524" t="s">
        <v>2439</v>
      </c>
      <c r="K2524" t="s">
        <v>1809</v>
      </c>
      <c r="L2524" t="str">
        <f>HYPERLINK("https://business-monitor.ch/de/companies/641305-egli-oergeli?utm_source=oberaargau","PROFIL ANSEHEN")</f>
        <v>PROFIL ANSEHEN</v>
      </c>
    </row>
    <row r="2525" spans="1:12" x14ac:dyDescent="0.2">
      <c r="A2525" t="s">
        <v>4964</v>
      </c>
      <c r="B2525" t="s">
        <v>4965</v>
      </c>
      <c r="C2525" t="s">
        <v>13</v>
      </c>
      <c r="E2525" t="s">
        <v>1200</v>
      </c>
      <c r="F2525">
        <v>4900</v>
      </c>
      <c r="G2525" t="s">
        <v>41</v>
      </c>
      <c r="H2525" t="s">
        <v>16</v>
      </c>
      <c r="I2525" t="s">
        <v>157</v>
      </c>
      <c r="J2525" t="s">
        <v>158</v>
      </c>
      <c r="K2525" t="s">
        <v>1809</v>
      </c>
      <c r="L2525" t="str">
        <f>HYPERLINK("https://business-monitor.ch/de/companies/234312-mueller-partner-immobilien-ag-langenthal?utm_source=oberaargau","PROFIL ANSEHEN")</f>
        <v>PROFIL ANSEHEN</v>
      </c>
    </row>
    <row r="2526" spans="1:12" x14ac:dyDescent="0.2">
      <c r="A2526" t="s">
        <v>14521</v>
      </c>
      <c r="B2526" t="s">
        <v>14522</v>
      </c>
      <c r="C2526" t="s">
        <v>202</v>
      </c>
      <c r="E2526" t="s">
        <v>14523</v>
      </c>
      <c r="F2526">
        <v>3360</v>
      </c>
      <c r="G2526" t="s">
        <v>35</v>
      </c>
      <c r="H2526" t="s">
        <v>16</v>
      </c>
      <c r="I2526" t="s">
        <v>1485</v>
      </c>
      <c r="J2526" t="s">
        <v>1486</v>
      </c>
      <c r="K2526" t="s">
        <v>1809</v>
      </c>
      <c r="L2526" t="str">
        <f>HYPERLINK("https://business-monitor.ch/de/companies/1309391-bonbonne-herzogenbuchsee-gmbh?utm_source=oberaargau","PROFIL ANSEHEN")</f>
        <v>PROFIL ANSEHEN</v>
      </c>
    </row>
    <row r="2527" spans="1:12" x14ac:dyDescent="0.2">
      <c r="A2527" t="s">
        <v>11857</v>
      </c>
      <c r="B2527" t="s">
        <v>11858</v>
      </c>
      <c r="C2527" t="s">
        <v>1812</v>
      </c>
      <c r="E2527" t="s">
        <v>11859</v>
      </c>
      <c r="F2527">
        <v>4932</v>
      </c>
      <c r="G2527" t="s">
        <v>325</v>
      </c>
      <c r="H2527" t="s">
        <v>16</v>
      </c>
      <c r="I2527" t="s">
        <v>4343</v>
      </c>
      <c r="J2527" t="s">
        <v>4344</v>
      </c>
      <c r="K2527" t="s">
        <v>1809</v>
      </c>
      <c r="L2527" t="str">
        <f>HYPERLINK("https://business-monitor.ch/de/companies/630564-1message-n-bianchi?utm_source=oberaargau","PROFIL ANSEHEN")</f>
        <v>PROFIL ANSEHEN</v>
      </c>
    </row>
    <row r="2528" spans="1:12" x14ac:dyDescent="0.2">
      <c r="A2528" t="s">
        <v>13066</v>
      </c>
      <c r="B2528" t="s">
        <v>13067</v>
      </c>
      <c r="C2528" t="s">
        <v>202</v>
      </c>
      <c r="E2528" t="s">
        <v>3701</v>
      </c>
      <c r="F2528">
        <v>4932</v>
      </c>
      <c r="G2528" t="s">
        <v>2036</v>
      </c>
      <c r="H2528" t="s">
        <v>16</v>
      </c>
      <c r="I2528" t="s">
        <v>824</v>
      </c>
      <c r="J2528" t="s">
        <v>825</v>
      </c>
      <c r="K2528" t="s">
        <v>1809</v>
      </c>
      <c r="L2528" t="str">
        <f>HYPERLINK("https://business-monitor.ch/de/companies/1232212-spring-und-rickli-gmbh?utm_source=oberaargau","PROFIL ANSEHEN")</f>
        <v>PROFIL ANSEHEN</v>
      </c>
    </row>
    <row r="2529" spans="1:12" x14ac:dyDescent="0.2">
      <c r="A2529" t="s">
        <v>14224</v>
      </c>
      <c r="B2529" t="s">
        <v>14225</v>
      </c>
      <c r="C2529" t="s">
        <v>13</v>
      </c>
      <c r="E2529" t="s">
        <v>10950</v>
      </c>
      <c r="F2529">
        <v>4912</v>
      </c>
      <c r="G2529" t="s">
        <v>64</v>
      </c>
      <c r="H2529" t="s">
        <v>16</v>
      </c>
      <c r="I2529" t="s">
        <v>186</v>
      </c>
      <c r="J2529" t="s">
        <v>187</v>
      </c>
      <c r="K2529" t="s">
        <v>1809</v>
      </c>
      <c r="L2529" t="str">
        <f>HYPERLINK("https://business-monitor.ch/de/companies/1284029-hofmann-holding-ag?utm_source=oberaargau","PROFIL ANSEHEN")</f>
        <v>PROFIL ANSEHEN</v>
      </c>
    </row>
    <row r="2530" spans="1:12" x14ac:dyDescent="0.2">
      <c r="A2530" t="s">
        <v>6493</v>
      </c>
      <c r="B2530" t="s">
        <v>6494</v>
      </c>
      <c r="C2530" t="s">
        <v>1922</v>
      </c>
      <c r="D2530" t="s">
        <v>6495</v>
      </c>
      <c r="E2530" t="s">
        <v>275</v>
      </c>
      <c r="F2530">
        <v>4900</v>
      </c>
      <c r="G2530" t="s">
        <v>41</v>
      </c>
      <c r="H2530" t="s">
        <v>16</v>
      </c>
      <c r="I2530" t="s">
        <v>2116</v>
      </c>
      <c r="J2530" t="s">
        <v>2117</v>
      </c>
      <c r="K2530" t="s">
        <v>1809</v>
      </c>
      <c r="L2530" t="str">
        <f>HYPERLINK("https://business-monitor.ch/de/companies/254738-vorsorgestiftung-der-kadi-ag?utm_source=oberaargau","PROFIL ANSEHEN")</f>
        <v>PROFIL ANSEHEN</v>
      </c>
    </row>
    <row r="2531" spans="1:12" x14ac:dyDescent="0.2">
      <c r="A2531" t="s">
        <v>12910</v>
      </c>
      <c r="B2531" t="s">
        <v>12911</v>
      </c>
      <c r="C2531" t="s">
        <v>202</v>
      </c>
      <c r="E2531" t="s">
        <v>12912</v>
      </c>
      <c r="F2531">
        <v>3380</v>
      </c>
      <c r="G2531" t="s">
        <v>29</v>
      </c>
      <c r="H2531" t="s">
        <v>16</v>
      </c>
      <c r="I2531" t="s">
        <v>2842</v>
      </c>
      <c r="J2531" t="s">
        <v>2843</v>
      </c>
      <c r="K2531" t="s">
        <v>1809</v>
      </c>
      <c r="L2531" t="str">
        <f>HYPERLINK("https://business-monitor.ch/de/companies/1226270-crabston-gmbh?utm_source=oberaargau","PROFIL ANSEHEN")</f>
        <v>PROFIL ANSEHEN</v>
      </c>
    </row>
    <row r="2532" spans="1:12" x14ac:dyDescent="0.2">
      <c r="A2532" t="s">
        <v>11517</v>
      </c>
      <c r="B2532" t="s">
        <v>11518</v>
      </c>
      <c r="C2532" t="s">
        <v>202</v>
      </c>
      <c r="E2532" t="s">
        <v>11884</v>
      </c>
      <c r="F2532">
        <v>4900</v>
      </c>
      <c r="G2532" t="s">
        <v>41</v>
      </c>
      <c r="H2532" t="s">
        <v>16</v>
      </c>
      <c r="I2532" t="s">
        <v>917</v>
      </c>
      <c r="J2532" t="s">
        <v>918</v>
      </c>
      <c r="K2532" t="s">
        <v>1809</v>
      </c>
      <c r="L2532" t="str">
        <f>HYPERLINK("https://business-monitor.ch/de/companies/1148145-innovel-plan-gmbh?utm_source=oberaargau","PROFIL ANSEHEN")</f>
        <v>PROFIL ANSEHEN</v>
      </c>
    </row>
    <row r="2533" spans="1:12" x14ac:dyDescent="0.2">
      <c r="A2533" t="s">
        <v>10991</v>
      </c>
      <c r="B2533" t="s">
        <v>11260</v>
      </c>
      <c r="C2533" t="s">
        <v>202</v>
      </c>
      <c r="E2533" t="s">
        <v>10992</v>
      </c>
      <c r="F2533">
        <v>4933</v>
      </c>
      <c r="G2533" t="s">
        <v>3812</v>
      </c>
      <c r="H2533" t="s">
        <v>16</v>
      </c>
      <c r="I2533" t="s">
        <v>1852</v>
      </c>
      <c r="J2533" t="s">
        <v>1853</v>
      </c>
      <c r="K2533" t="s">
        <v>1809</v>
      </c>
      <c r="L2533" t="str">
        <f>HYPERLINK("https://business-monitor.ch/de/companies/1113199-creanova-bau-gmbh?utm_source=oberaargau","PROFIL ANSEHEN")</f>
        <v>PROFIL ANSEHEN</v>
      </c>
    </row>
    <row r="2534" spans="1:12" x14ac:dyDescent="0.2">
      <c r="A2534" t="s">
        <v>2305</v>
      </c>
      <c r="B2534" t="s">
        <v>2306</v>
      </c>
      <c r="C2534" t="s">
        <v>1812</v>
      </c>
      <c r="E2534" t="s">
        <v>2307</v>
      </c>
      <c r="F2534">
        <v>4704</v>
      </c>
      <c r="G2534" t="s">
        <v>221</v>
      </c>
      <c r="H2534" t="s">
        <v>16</v>
      </c>
      <c r="I2534" t="s">
        <v>2308</v>
      </c>
      <c r="J2534" t="s">
        <v>2309</v>
      </c>
      <c r="K2534" t="s">
        <v>1809</v>
      </c>
      <c r="L2534" t="str">
        <f>HYPERLINK("https://business-monitor.ch/de/companies/249001-guggisberg?utm_source=oberaargau","PROFIL ANSEHEN")</f>
        <v>PROFIL ANSEHEN</v>
      </c>
    </row>
    <row r="2535" spans="1:12" x14ac:dyDescent="0.2">
      <c r="A2535" t="s">
        <v>7048</v>
      </c>
      <c r="B2535" t="s">
        <v>7049</v>
      </c>
      <c r="C2535" t="s">
        <v>1812</v>
      </c>
      <c r="E2535" t="s">
        <v>5219</v>
      </c>
      <c r="F2535">
        <v>4900</v>
      </c>
      <c r="G2535" t="s">
        <v>41</v>
      </c>
      <c r="H2535" t="s">
        <v>16</v>
      </c>
      <c r="I2535" t="s">
        <v>7050</v>
      </c>
      <c r="J2535" t="s">
        <v>7051</v>
      </c>
      <c r="K2535" t="s">
        <v>1809</v>
      </c>
      <c r="L2535" t="str">
        <f>HYPERLINK("https://business-monitor.ch/de/companies/643371-zigarrenstube-langenthal-konrad-daetwyler?utm_source=oberaargau","PROFIL ANSEHEN")</f>
        <v>PROFIL ANSEHEN</v>
      </c>
    </row>
    <row r="2536" spans="1:12" x14ac:dyDescent="0.2">
      <c r="A2536" t="s">
        <v>8328</v>
      </c>
      <c r="B2536" t="s">
        <v>8329</v>
      </c>
      <c r="C2536" t="s">
        <v>1812</v>
      </c>
      <c r="E2536" t="s">
        <v>5536</v>
      </c>
      <c r="F2536">
        <v>4936</v>
      </c>
      <c r="G2536" t="s">
        <v>768</v>
      </c>
      <c r="H2536" t="s">
        <v>16</v>
      </c>
      <c r="I2536" t="s">
        <v>1401</v>
      </c>
      <c r="J2536" t="s">
        <v>1402</v>
      </c>
      <c r="K2536" t="s">
        <v>1809</v>
      </c>
      <c r="L2536" t="str">
        <f>HYPERLINK("https://business-monitor.ch/de/companies/309165-bluemestuebli-verena-kummer?utm_source=oberaargau","PROFIL ANSEHEN")</f>
        <v>PROFIL ANSEHEN</v>
      </c>
    </row>
    <row r="2537" spans="1:12" x14ac:dyDescent="0.2">
      <c r="A2537" t="s">
        <v>4322</v>
      </c>
      <c r="B2537" t="s">
        <v>4323</v>
      </c>
      <c r="C2537" t="s">
        <v>202</v>
      </c>
      <c r="E2537" t="s">
        <v>4324</v>
      </c>
      <c r="F2537">
        <v>4900</v>
      </c>
      <c r="G2537" t="s">
        <v>41</v>
      </c>
      <c r="H2537" t="s">
        <v>16</v>
      </c>
      <c r="I2537" t="s">
        <v>4577</v>
      </c>
      <c r="J2537" t="s">
        <v>4578</v>
      </c>
      <c r="K2537" t="s">
        <v>1809</v>
      </c>
      <c r="L2537" t="str">
        <f>HYPERLINK("https://business-monitor.ch/de/companies/968560-asgowi-gmbh?utm_source=oberaargau","PROFIL ANSEHEN")</f>
        <v>PROFIL ANSEHEN</v>
      </c>
    </row>
    <row r="2538" spans="1:12" x14ac:dyDescent="0.2">
      <c r="A2538" t="s">
        <v>5002</v>
      </c>
      <c r="B2538" t="s">
        <v>5003</v>
      </c>
      <c r="C2538" t="s">
        <v>202</v>
      </c>
      <c r="E2538" t="s">
        <v>3190</v>
      </c>
      <c r="F2538">
        <v>4900</v>
      </c>
      <c r="G2538" t="s">
        <v>41</v>
      </c>
      <c r="H2538" t="s">
        <v>16</v>
      </c>
      <c r="I2538" t="s">
        <v>232</v>
      </c>
      <c r="J2538" t="s">
        <v>233</v>
      </c>
      <c r="K2538" t="s">
        <v>1809</v>
      </c>
      <c r="L2538" t="str">
        <f>HYPERLINK("https://business-monitor.ch/de/companies/536439-vat-and-tax-professionals-gmbh?utm_source=oberaargau","PROFIL ANSEHEN")</f>
        <v>PROFIL ANSEHEN</v>
      </c>
    </row>
    <row r="2539" spans="1:12" x14ac:dyDescent="0.2">
      <c r="A2539" t="s">
        <v>12628</v>
      </c>
      <c r="B2539" t="s">
        <v>12629</v>
      </c>
      <c r="C2539" t="s">
        <v>13</v>
      </c>
      <c r="E2539" t="s">
        <v>12223</v>
      </c>
      <c r="F2539">
        <v>4950</v>
      </c>
      <c r="G2539" t="s">
        <v>15</v>
      </c>
      <c r="H2539" t="s">
        <v>16</v>
      </c>
      <c r="I2539" t="s">
        <v>182</v>
      </c>
      <c r="J2539" t="s">
        <v>183</v>
      </c>
      <c r="K2539" t="s">
        <v>1809</v>
      </c>
      <c r="L2539" t="str">
        <f>HYPERLINK("https://business-monitor.ch/de/companies/1204599-espace-health-group-ag?utm_source=oberaargau","PROFIL ANSEHEN")</f>
        <v>PROFIL ANSEHEN</v>
      </c>
    </row>
    <row r="2540" spans="1:12" x14ac:dyDescent="0.2">
      <c r="A2540" t="s">
        <v>3170</v>
      </c>
      <c r="B2540" t="s">
        <v>3171</v>
      </c>
      <c r="C2540" t="s">
        <v>13</v>
      </c>
      <c r="E2540" t="s">
        <v>3172</v>
      </c>
      <c r="F2540">
        <v>3374</v>
      </c>
      <c r="G2540" t="s">
        <v>894</v>
      </c>
      <c r="H2540" t="s">
        <v>16</v>
      </c>
      <c r="I2540" t="s">
        <v>1543</v>
      </c>
      <c r="J2540" t="s">
        <v>1544</v>
      </c>
      <c r="K2540" t="s">
        <v>1809</v>
      </c>
      <c r="L2540" t="str">
        <f>HYPERLINK("https://business-monitor.ch/de/companies/298153-faltinek-ag?utm_source=oberaargau","PROFIL ANSEHEN")</f>
        <v>PROFIL ANSEHEN</v>
      </c>
    </row>
    <row r="2541" spans="1:12" x14ac:dyDescent="0.2">
      <c r="A2541" t="s">
        <v>3669</v>
      </c>
      <c r="B2541" t="s">
        <v>3670</v>
      </c>
      <c r="C2541" t="s">
        <v>1812</v>
      </c>
      <c r="E2541" t="s">
        <v>3671</v>
      </c>
      <c r="F2541">
        <v>4704</v>
      </c>
      <c r="G2541" t="s">
        <v>221</v>
      </c>
      <c r="H2541" t="s">
        <v>16</v>
      </c>
      <c r="I2541" t="s">
        <v>2378</v>
      </c>
      <c r="J2541" t="s">
        <v>2379</v>
      </c>
      <c r="K2541" t="s">
        <v>1809</v>
      </c>
      <c r="L2541" t="str">
        <f>HYPERLINK("https://business-monitor.ch/de/companies/41749-dancing-crazy-e-buchser?utm_source=oberaargau","PROFIL ANSEHEN")</f>
        <v>PROFIL ANSEHEN</v>
      </c>
    </row>
    <row r="2542" spans="1:12" x14ac:dyDescent="0.2">
      <c r="A2542" t="s">
        <v>7534</v>
      </c>
      <c r="B2542" t="s">
        <v>7535</v>
      </c>
      <c r="C2542" t="s">
        <v>202</v>
      </c>
      <c r="E2542" t="s">
        <v>4425</v>
      </c>
      <c r="F2542">
        <v>4932</v>
      </c>
      <c r="G2542" t="s">
        <v>325</v>
      </c>
      <c r="H2542" t="s">
        <v>16</v>
      </c>
      <c r="I2542" t="s">
        <v>1835</v>
      </c>
      <c r="J2542" t="s">
        <v>1836</v>
      </c>
      <c r="K2542" t="s">
        <v>1809</v>
      </c>
      <c r="L2542" t="str">
        <f>HYPERLINK("https://business-monitor.ch/de/companies/703112-zwahlen-reinigt-gmbh?utm_source=oberaargau","PROFIL ANSEHEN")</f>
        <v>PROFIL ANSEHEN</v>
      </c>
    </row>
    <row r="2543" spans="1:12" x14ac:dyDescent="0.2">
      <c r="A2543" t="s">
        <v>6358</v>
      </c>
      <c r="B2543" t="s">
        <v>6359</v>
      </c>
      <c r="C2543" t="s">
        <v>1812</v>
      </c>
      <c r="E2543" t="s">
        <v>5403</v>
      </c>
      <c r="F2543">
        <v>4537</v>
      </c>
      <c r="G2543" t="s">
        <v>113</v>
      </c>
      <c r="H2543" t="s">
        <v>16</v>
      </c>
      <c r="I2543" t="s">
        <v>4317</v>
      </c>
      <c r="J2543" t="s">
        <v>4318</v>
      </c>
      <c r="K2543" t="s">
        <v>1809</v>
      </c>
      <c r="L2543" t="str">
        <f>HYPERLINK("https://business-monitor.ch/de/companies/310439-geschenkshop-ideal-h-r-frei?utm_source=oberaargau","PROFIL ANSEHEN")</f>
        <v>PROFIL ANSEHEN</v>
      </c>
    </row>
    <row r="2544" spans="1:12" x14ac:dyDescent="0.2">
      <c r="A2544" t="s">
        <v>3000</v>
      </c>
      <c r="B2544" t="s">
        <v>3001</v>
      </c>
      <c r="C2544" t="s">
        <v>1812</v>
      </c>
      <c r="E2544" t="s">
        <v>3002</v>
      </c>
      <c r="F2544">
        <v>3475</v>
      </c>
      <c r="G2544" t="s">
        <v>965</v>
      </c>
      <c r="H2544" t="s">
        <v>16</v>
      </c>
      <c r="I2544" t="s">
        <v>3003</v>
      </c>
      <c r="J2544" t="s">
        <v>3004</v>
      </c>
      <c r="K2544" t="s">
        <v>1809</v>
      </c>
      <c r="L2544" t="str">
        <f>HYPERLINK("https://business-monitor.ch/de/companies/353934-herausgeber-ch-daniel-gaberell?utm_source=oberaargau","PROFIL ANSEHEN")</f>
        <v>PROFIL ANSEHEN</v>
      </c>
    </row>
    <row r="2545" spans="1:12" x14ac:dyDescent="0.2">
      <c r="A2545" t="s">
        <v>9554</v>
      </c>
      <c r="B2545" t="s">
        <v>9555</v>
      </c>
      <c r="C2545" t="s">
        <v>1812</v>
      </c>
      <c r="E2545" t="s">
        <v>5830</v>
      </c>
      <c r="F2545">
        <v>3360</v>
      </c>
      <c r="G2545" t="s">
        <v>35</v>
      </c>
      <c r="H2545" t="s">
        <v>16</v>
      </c>
      <c r="I2545" t="s">
        <v>565</v>
      </c>
      <c r="J2545" t="s">
        <v>566</v>
      </c>
      <c r="K2545" t="s">
        <v>1809</v>
      </c>
      <c r="L2545" t="str">
        <f>HYPERLINK("https://business-monitor.ch/de/companies/726386-confiserie-christen?utm_source=oberaargau","PROFIL ANSEHEN")</f>
        <v>PROFIL ANSEHEN</v>
      </c>
    </row>
    <row r="2546" spans="1:12" x14ac:dyDescent="0.2">
      <c r="A2546" t="s">
        <v>12763</v>
      </c>
      <c r="B2546" t="s">
        <v>12764</v>
      </c>
      <c r="C2546" t="s">
        <v>202</v>
      </c>
      <c r="E2546" t="s">
        <v>12765</v>
      </c>
      <c r="F2546">
        <v>4704</v>
      </c>
      <c r="G2546" t="s">
        <v>221</v>
      </c>
      <c r="H2546" t="s">
        <v>16</v>
      </c>
      <c r="I2546" t="s">
        <v>77</v>
      </c>
      <c r="J2546" t="s">
        <v>78</v>
      </c>
      <c r="K2546" t="s">
        <v>1809</v>
      </c>
      <c r="L2546" t="str">
        <f>HYPERLINK("https://business-monitor.ch/de/companies/1216883-am-fenster-gmbh?utm_source=oberaargau","PROFIL ANSEHEN")</f>
        <v>PROFIL ANSEHEN</v>
      </c>
    </row>
    <row r="2547" spans="1:12" x14ac:dyDescent="0.2">
      <c r="A2547" t="s">
        <v>14256</v>
      </c>
      <c r="B2547" t="s">
        <v>14257</v>
      </c>
      <c r="C2547" t="s">
        <v>202</v>
      </c>
      <c r="E2547" t="s">
        <v>14258</v>
      </c>
      <c r="F2547">
        <v>3373</v>
      </c>
      <c r="G2547" t="s">
        <v>2429</v>
      </c>
      <c r="H2547" t="s">
        <v>16</v>
      </c>
      <c r="I2547" t="s">
        <v>824</v>
      </c>
      <c r="J2547" t="s">
        <v>825</v>
      </c>
      <c r="K2547" t="s">
        <v>1809</v>
      </c>
      <c r="L2547" t="str">
        <f>HYPERLINK("https://business-monitor.ch/de/companies/1289606-aksak-gmbh?utm_source=oberaargau","PROFIL ANSEHEN")</f>
        <v>PROFIL ANSEHEN</v>
      </c>
    </row>
    <row r="2548" spans="1:12" x14ac:dyDescent="0.2">
      <c r="A2548" t="s">
        <v>12391</v>
      </c>
      <c r="B2548" t="s">
        <v>12392</v>
      </c>
      <c r="C2548" t="s">
        <v>202</v>
      </c>
      <c r="E2548" t="s">
        <v>12393</v>
      </c>
      <c r="F2548">
        <v>3380</v>
      </c>
      <c r="G2548" t="s">
        <v>29</v>
      </c>
      <c r="H2548" t="s">
        <v>16</v>
      </c>
      <c r="I2548" t="s">
        <v>1860</v>
      </c>
      <c r="J2548" t="s">
        <v>1861</v>
      </c>
      <c r="K2548" t="s">
        <v>1809</v>
      </c>
      <c r="L2548" t="str">
        <f>HYPERLINK("https://business-monitor.ch/de/companies/1189978-da-mauro-coiffeur-barber-gmbh?utm_source=oberaargau","PROFIL ANSEHEN")</f>
        <v>PROFIL ANSEHEN</v>
      </c>
    </row>
    <row r="2549" spans="1:12" x14ac:dyDescent="0.2">
      <c r="A2549" t="s">
        <v>13044</v>
      </c>
      <c r="B2549" t="s">
        <v>13045</v>
      </c>
      <c r="C2549" t="s">
        <v>202</v>
      </c>
      <c r="E2549" t="s">
        <v>13046</v>
      </c>
      <c r="F2549">
        <v>4937</v>
      </c>
      <c r="G2549" t="s">
        <v>951</v>
      </c>
      <c r="H2549" t="s">
        <v>16</v>
      </c>
      <c r="I2549" t="s">
        <v>824</v>
      </c>
      <c r="J2549" t="s">
        <v>825</v>
      </c>
      <c r="K2549" t="s">
        <v>1809</v>
      </c>
      <c r="L2549" t="str">
        <f>HYPERLINK("https://business-monitor.ch/de/companies/688764-joules-of-joy-gmbh?utm_source=oberaargau","PROFIL ANSEHEN")</f>
        <v>PROFIL ANSEHEN</v>
      </c>
    </row>
    <row r="2550" spans="1:12" x14ac:dyDescent="0.2">
      <c r="A2550" t="s">
        <v>9260</v>
      </c>
      <c r="B2550" t="s">
        <v>12221</v>
      </c>
      <c r="C2550" t="s">
        <v>202</v>
      </c>
      <c r="E2550" t="s">
        <v>9261</v>
      </c>
      <c r="F2550">
        <v>4537</v>
      </c>
      <c r="G2550" t="s">
        <v>113</v>
      </c>
      <c r="H2550" t="s">
        <v>16</v>
      </c>
      <c r="I2550" t="s">
        <v>260</v>
      </c>
      <c r="J2550" t="s">
        <v>261</v>
      </c>
      <c r="K2550" t="s">
        <v>1809</v>
      </c>
      <c r="L2550" t="str">
        <f>HYPERLINK("https://business-monitor.ch/de/companies/114830-architekturpartner-gmbh?utm_source=oberaargau","PROFIL ANSEHEN")</f>
        <v>PROFIL ANSEHEN</v>
      </c>
    </row>
    <row r="2551" spans="1:12" x14ac:dyDescent="0.2">
      <c r="A2551" t="s">
        <v>12565</v>
      </c>
      <c r="B2551" t="s">
        <v>12566</v>
      </c>
      <c r="C2551" t="s">
        <v>13</v>
      </c>
      <c r="D2551" t="s">
        <v>12567</v>
      </c>
      <c r="E2551" t="s">
        <v>4412</v>
      </c>
      <c r="F2551">
        <v>4900</v>
      </c>
      <c r="G2551" t="s">
        <v>41</v>
      </c>
      <c r="H2551" t="s">
        <v>16</v>
      </c>
      <c r="I2551" t="s">
        <v>2249</v>
      </c>
      <c r="J2551" t="s">
        <v>2250</v>
      </c>
      <c r="K2551" t="s">
        <v>1809</v>
      </c>
      <c r="L2551" t="str">
        <f>HYPERLINK("https://business-monitor.ch/de/companies/1212980-assembla-montagen-ag?utm_source=oberaargau","PROFIL ANSEHEN")</f>
        <v>PROFIL ANSEHEN</v>
      </c>
    </row>
    <row r="2552" spans="1:12" x14ac:dyDescent="0.2">
      <c r="A2552" t="s">
        <v>4860</v>
      </c>
      <c r="B2552" t="s">
        <v>4861</v>
      </c>
      <c r="C2552" t="s">
        <v>13</v>
      </c>
      <c r="D2552" t="s">
        <v>4862</v>
      </c>
      <c r="E2552" t="s">
        <v>4863</v>
      </c>
      <c r="F2552">
        <v>4934</v>
      </c>
      <c r="G2552" t="s">
        <v>670</v>
      </c>
      <c r="H2552" t="s">
        <v>16</v>
      </c>
      <c r="I2552" t="s">
        <v>935</v>
      </c>
      <c r="J2552" t="s">
        <v>936</v>
      </c>
      <c r="K2552" t="s">
        <v>1809</v>
      </c>
      <c r="L2552" t="str">
        <f>HYPERLINK("https://business-monitor.ch/de/companies/534141-freima-ag?utm_source=oberaargau","PROFIL ANSEHEN")</f>
        <v>PROFIL ANSEHEN</v>
      </c>
    </row>
    <row r="2553" spans="1:12" x14ac:dyDescent="0.2">
      <c r="A2553" t="s">
        <v>12702</v>
      </c>
      <c r="B2553" t="s">
        <v>12703</v>
      </c>
      <c r="C2553" t="s">
        <v>1812</v>
      </c>
      <c r="E2553" t="s">
        <v>12704</v>
      </c>
      <c r="F2553">
        <v>4933</v>
      </c>
      <c r="G2553" t="s">
        <v>3812</v>
      </c>
      <c r="H2553" t="s">
        <v>16</v>
      </c>
      <c r="I2553" t="s">
        <v>624</v>
      </c>
      <c r="J2553" t="s">
        <v>625</v>
      </c>
      <c r="K2553" t="s">
        <v>1809</v>
      </c>
      <c r="L2553" t="str">
        <f>HYPERLINK("https://business-monitor.ch/de/companies/1202669-holzbau-schuebi-beat-schuepbach?utm_source=oberaargau","PROFIL ANSEHEN")</f>
        <v>PROFIL ANSEHEN</v>
      </c>
    </row>
    <row r="2554" spans="1:12" x14ac:dyDescent="0.2">
      <c r="A2554" t="s">
        <v>5557</v>
      </c>
      <c r="B2554" t="s">
        <v>5558</v>
      </c>
      <c r="C2554" t="s">
        <v>202</v>
      </c>
      <c r="E2554" t="s">
        <v>5559</v>
      </c>
      <c r="F2554">
        <v>4900</v>
      </c>
      <c r="G2554" t="s">
        <v>41</v>
      </c>
      <c r="H2554" t="s">
        <v>16</v>
      </c>
      <c r="I2554" t="s">
        <v>2231</v>
      </c>
      <c r="J2554" t="s">
        <v>2232</v>
      </c>
      <c r="K2554" t="s">
        <v>1809</v>
      </c>
      <c r="L2554" t="str">
        <f>HYPERLINK("https://business-monitor.ch/de/companies/1084002-malerei-kurt-gmbh?utm_source=oberaargau","PROFIL ANSEHEN")</f>
        <v>PROFIL ANSEHEN</v>
      </c>
    </row>
    <row r="2555" spans="1:12" x14ac:dyDescent="0.2">
      <c r="A2555" t="s">
        <v>3274</v>
      </c>
      <c r="B2555" t="s">
        <v>13783</v>
      </c>
      <c r="C2555" t="s">
        <v>13</v>
      </c>
      <c r="E2555" t="s">
        <v>3275</v>
      </c>
      <c r="F2555">
        <v>4900</v>
      </c>
      <c r="G2555" t="s">
        <v>41</v>
      </c>
      <c r="H2555" t="s">
        <v>16</v>
      </c>
      <c r="I2555" t="s">
        <v>2027</v>
      </c>
      <c r="J2555" t="s">
        <v>2028</v>
      </c>
      <c r="K2555" t="s">
        <v>1809</v>
      </c>
      <c r="L2555" t="str">
        <f>HYPERLINK("https://business-monitor.ch/de/companies/249360-sidler-ag-werbetechnik?utm_source=oberaargau","PROFIL ANSEHEN")</f>
        <v>PROFIL ANSEHEN</v>
      </c>
    </row>
    <row r="2556" spans="1:12" x14ac:dyDescent="0.2">
      <c r="A2556" t="s">
        <v>5047</v>
      </c>
      <c r="B2556" t="s">
        <v>5048</v>
      </c>
      <c r="C2556" t="s">
        <v>1812</v>
      </c>
      <c r="E2556" t="s">
        <v>5049</v>
      </c>
      <c r="F2556">
        <v>4932</v>
      </c>
      <c r="G2556" t="s">
        <v>325</v>
      </c>
      <c r="H2556" t="s">
        <v>16</v>
      </c>
      <c r="I2556" t="s">
        <v>260</v>
      </c>
      <c r="J2556" t="s">
        <v>261</v>
      </c>
      <c r="K2556" t="s">
        <v>1809</v>
      </c>
      <c r="L2556" t="str">
        <f>HYPERLINK("https://business-monitor.ch/de/companies/293374-aeschlimann-architektur?utm_source=oberaargau","PROFIL ANSEHEN")</f>
        <v>PROFIL ANSEHEN</v>
      </c>
    </row>
    <row r="2557" spans="1:12" x14ac:dyDescent="0.2">
      <c r="A2557" t="s">
        <v>13544</v>
      </c>
      <c r="B2557" t="s">
        <v>13545</v>
      </c>
      <c r="C2557" t="s">
        <v>1812</v>
      </c>
      <c r="E2557" t="s">
        <v>11896</v>
      </c>
      <c r="F2557">
        <v>4538</v>
      </c>
      <c r="G2557" t="s">
        <v>71</v>
      </c>
      <c r="H2557" t="s">
        <v>16</v>
      </c>
      <c r="I2557" t="s">
        <v>1528</v>
      </c>
      <c r="J2557" t="s">
        <v>1529</v>
      </c>
      <c r="K2557" t="s">
        <v>1809</v>
      </c>
      <c r="L2557" t="str">
        <f>HYPERLINK("https://business-monitor.ch/de/companies/1263913-bcs-legal-powered-by-de-vries?utm_source=oberaargau","PROFIL ANSEHEN")</f>
        <v>PROFIL ANSEHEN</v>
      </c>
    </row>
    <row r="2558" spans="1:12" x14ac:dyDescent="0.2">
      <c r="A2558" t="s">
        <v>14293</v>
      </c>
      <c r="B2558" t="s">
        <v>14294</v>
      </c>
      <c r="C2558" t="s">
        <v>202</v>
      </c>
      <c r="E2558" t="s">
        <v>14295</v>
      </c>
      <c r="F2558">
        <v>4900</v>
      </c>
      <c r="G2558" t="s">
        <v>41</v>
      </c>
      <c r="H2558" t="s">
        <v>16</v>
      </c>
      <c r="I2558" t="s">
        <v>662</v>
      </c>
      <c r="J2558" t="s">
        <v>663</v>
      </c>
      <c r="K2558" t="s">
        <v>1809</v>
      </c>
      <c r="L2558" t="str">
        <f>HYPERLINK("https://business-monitor.ch/de/companies/1285794-mb-dachtechnik-gmbh?utm_source=oberaargau","PROFIL ANSEHEN")</f>
        <v>PROFIL ANSEHEN</v>
      </c>
    </row>
    <row r="2559" spans="1:12" x14ac:dyDescent="0.2">
      <c r="A2559" t="s">
        <v>13945</v>
      </c>
      <c r="B2559" t="s">
        <v>13946</v>
      </c>
      <c r="C2559" t="s">
        <v>202</v>
      </c>
      <c r="E2559" t="s">
        <v>11681</v>
      </c>
      <c r="F2559">
        <v>4914</v>
      </c>
      <c r="G2559" t="s">
        <v>105</v>
      </c>
      <c r="H2559" t="s">
        <v>16</v>
      </c>
      <c r="I2559" t="s">
        <v>4641</v>
      </c>
      <c r="J2559" t="s">
        <v>4642</v>
      </c>
      <c r="K2559" t="s">
        <v>1809</v>
      </c>
      <c r="L2559" t="str">
        <f>HYPERLINK("https://business-monitor.ch/de/companies/1280517-pferdearena-cs-gmbh?utm_source=oberaargau","PROFIL ANSEHEN")</f>
        <v>PROFIL ANSEHEN</v>
      </c>
    </row>
    <row r="2560" spans="1:12" x14ac:dyDescent="0.2">
      <c r="A2560" t="s">
        <v>4337</v>
      </c>
      <c r="B2560" t="s">
        <v>4338</v>
      </c>
      <c r="C2560" t="s">
        <v>1812</v>
      </c>
      <c r="E2560" t="s">
        <v>4339</v>
      </c>
      <c r="F2560">
        <v>4900</v>
      </c>
      <c r="G2560" t="s">
        <v>41</v>
      </c>
      <c r="H2560" t="s">
        <v>16</v>
      </c>
      <c r="I2560" t="s">
        <v>1841</v>
      </c>
      <c r="J2560" t="s">
        <v>1842</v>
      </c>
      <c r="K2560" t="s">
        <v>1809</v>
      </c>
      <c r="L2560" t="str">
        <f>HYPERLINK("https://business-monitor.ch/de/companies/963354-therapie-nicole-baumann?utm_source=oberaargau","PROFIL ANSEHEN")</f>
        <v>PROFIL ANSEHEN</v>
      </c>
    </row>
    <row r="2561" spans="1:12" x14ac:dyDescent="0.2">
      <c r="A2561" t="s">
        <v>5209</v>
      </c>
      <c r="B2561" t="s">
        <v>12066</v>
      </c>
      <c r="C2561" t="s">
        <v>13</v>
      </c>
      <c r="D2561" t="s">
        <v>5210</v>
      </c>
      <c r="E2561" t="s">
        <v>1200</v>
      </c>
      <c r="F2561">
        <v>4900</v>
      </c>
      <c r="G2561" t="s">
        <v>41</v>
      </c>
      <c r="H2561" t="s">
        <v>16</v>
      </c>
      <c r="I2561" t="s">
        <v>182</v>
      </c>
      <c r="J2561" t="s">
        <v>183</v>
      </c>
      <c r="K2561" t="s">
        <v>1809</v>
      </c>
      <c r="L2561" t="str">
        <f>HYPERLINK("https://business-monitor.ch/de/companies/1032221-mrp-ag?utm_source=oberaargau","PROFIL ANSEHEN")</f>
        <v>PROFIL ANSEHEN</v>
      </c>
    </row>
    <row r="2562" spans="1:12" x14ac:dyDescent="0.2">
      <c r="A2562" t="s">
        <v>6055</v>
      </c>
      <c r="B2562" t="s">
        <v>6056</v>
      </c>
      <c r="C2562" t="s">
        <v>202</v>
      </c>
      <c r="E2562" t="s">
        <v>6057</v>
      </c>
      <c r="F2562">
        <v>4900</v>
      </c>
      <c r="G2562" t="s">
        <v>41</v>
      </c>
      <c r="H2562" t="s">
        <v>16</v>
      </c>
      <c r="I2562" t="s">
        <v>642</v>
      </c>
      <c r="J2562" t="s">
        <v>643</v>
      </c>
      <c r="K2562" t="s">
        <v>1809</v>
      </c>
      <c r="L2562" t="str">
        <f>HYPERLINK("https://business-monitor.ch/de/companies/1098-diesel-fritz-gmbh?utm_source=oberaargau","PROFIL ANSEHEN")</f>
        <v>PROFIL ANSEHEN</v>
      </c>
    </row>
    <row r="2563" spans="1:12" x14ac:dyDescent="0.2">
      <c r="A2563" t="s">
        <v>2107</v>
      </c>
      <c r="B2563" t="s">
        <v>2108</v>
      </c>
      <c r="C2563" t="s">
        <v>1827</v>
      </c>
      <c r="F2563">
        <v>4954</v>
      </c>
      <c r="G2563" t="s">
        <v>359</v>
      </c>
      <c r="H2563" t="s">
        <v>16</v>
      </c>
      <c r="I2563" t="s">
        <v>1852</v>
      </c>
      <c r="J2563" t="s">
        <v>1853</v>
      </c>
      <c r="K2563" t="s">
        <v>1809</v>
      </c>
      <c r="L2563" t="str">
        <f>HYPERLINK("https://business-monitor.ch/de/companies/67081-gebr-sollberger?utm_source=oberaargau","PROFIL ANSEHEN")</f>
        <v>PROFIL ANSEHEN</v>
      </c>
    </row>
    <row r="2564" spans="1:12" x14ac:dyDescent="0.2">
      <c r="A2564" t="s">
        <v>8070</v>
      </c>
      <c r="B2564" t="s">
        <v>8071</v>
      </c>
      <c r="C2564" t="s">
        <v>1812</v>
      </c>
      <c r="E2564" t="s">
        <v>8072</v>
      </c>
      <c r="F2564">
        <v>4900</v>
      </c>
      <c r="G2564" t="s">
        <v>41</v>
      </c>
      <c r="H2564" t="s">
        <v>16</v>
      </c>
      <c r="I2564" t="s">
        <v>2077</v>
      </c>
      <c r="J2564" t="s">
        <v>2078</v>
      </c>
      <c r="K2564" t="s">
        <v>1809</v>
      </c>
      <c r="L2564" t="str">
        <f>HYPERLINK("https://business-monitor.ch/de/companies/180687-christen-foto?utm_source=oberaargau","PROFIL ANSEHEN")</f>
        <v>PROFIL ANSEHEN</v>
      </c>
    </row>
    <row r="2565" spans="1:12" x14ac:dyDescent="0.2">
      <c r="A2565" t="s">
        <v>9452</v>
      </c>
      <c r="B2565" t="s">
        <v>9453</v>
      </c>
      <c r="C2565" t="s">
        <v>202</v>
      </c>
      <c r="E2565" t="s">
        <v>9454</v>
      </c>
      <c r="F2565">
        <v>4924</v>
      </c>
      <c r="G2565" t="s">
        <v>3727</v>
      </c>
      <c r="H2565" t="s">
        <v>16</v>
      </c>
      <c r="I2565" t="s">
        <v>845</v>
      </c>
      <c r="J2565" t="s">
        <v>846</v>
      </c>
      <c r="K2565" t="s">
        <v>1809</v>
      </c>
      <c r="L2565" t="str">
        <f>HYPERLINK("https://business-monitor.ch/de/companies/380181-raritaeten-zum-holzofen-gmbh?utm_source=oberaargau","PROFIL ANSEHEN")</f>
        <v>PROFIL ANSEHEN</v>
      </c>
    </row>
    <row r="2566" spans="1:12" x14ac:dyDescent="0.2">
      <c r="A2566" t="s">
        <v>11124</v>
      </c>
      <c r="B2566" t="s">
        <v>11125</v>
      </c>
      <c r="C2566" t="s">
        <v>202</v>
      </c>
      <c r="E2566" t="s">
        <v>12904</v>
      </c>
      <c r="F2566">
        <v>4900</v>
      </c>
      <c r="G2566" t="s">
        <v>41</v>
      </c>
      <c r="H2566" t="s">
        <v>16</v>
      </c>
      <c r="I2566" t="s">
        <v>854</v>
      </c>
      <c r="J2566" t="s">
        <v>855</v>
      </c>
      <c r="K2566" t="s">
        <v>1809</v>
      </c>
      <c r="L2566" t="str">
        <f>HYPERLINK("https://business-monitor.ch/de/companies/1112208-swiss-quality-software-gmbh?utm_source=oberaargau","PROFIL ANSEHEN")</f>
        <v>PROFIL ANSEHEN</v>
      </c>
    </row>
    <row r="2567" spans="1:12" x14ac:dyDescent="0.2">
      <c r="A2567" t="s">
        <v>8439</v>
      </c>
      <c r="B2567" t="s">
        <v>8440</v>
      </c>
      <c r="C2567" t="s">
        <v>1922</v>
      </c>
      <c r="D2567" t="s">
        <v>13807</v>
      </c>
      <c r="E2567" t="s">
        <v>13504</v>
      </c>
      <c r="F2567">
        <v>3360</v>
      </c>
      <c r="G2567" t="s">
        <v>35</v>
      </c>
      <c r="H2567" t="s">
        <v>16</v>
      </c>
      <c r="I2567" t="s">
        <v>640</v>
      </c>
      <c r="J2567" t="s">
        <v>641</v>
      </c>
      <c r="K2567" t="s">
        <v>1809</v>
      </c>
      <c r="L2567" t="str">
        <f>HYPERLINK("https://business-monitor.ch/de/companies/676312-oskar-lerch-ausbildungsstiftung?utm_source=oberaargau","PROFIL ANSEHEN")</f>
        <v>PROFIL ANSEHEN</v>
      </c>
    </row>
    <row r="2568" spans="1:12" x14ac:dyDescent="0.2">
      <c r="A2568" t="s">
        <v>5637</v>
      </c>
      <c r="B2568" t="s">
        <v>5638</v>
      </c>
      <c r="C2568" t="s">
        <v>13</v>
      </c>
      <c r="D2568" t="s">
        <v>5639</v>
      </c>
      <c r="E2568" t="s">
        <v>683</v>
      </c>
      <c r="F2568">
        <v>4955</v>
      </c>
      <c r="G2568" t="s">
        <v>684</v>
      </c>
      <c r="H2568" t="s">
        <v>16</v>
      </c>
      <c r="I2568" t="s">
        <v>186</v>
      </c>
      <c r="J2568" t="s">
        <v>187</v>
      </c>
      <c r="K2568" t="s">
        <v>1809</v>
      </c>
      <c r="L2568" t="str">
        <f>HYPERLINK("https://business-monitor.ch/de/companies/405606-fbg-holding-ag?utm_source=oberaargau","PROFIL ANSEHEN")</f>
        <v>PROFIL ANSEHEN</v>
      </c>
    </row>
    <row r="2569" spans="1:12" x14ac:dyDescent="0.2">
      <c r="A2569" t="s">
        <v>7052</v>
      </c>
      <c r="B2569" t="s">
        <v>7053</v>
      </c>
      <c r="C2569" t="s">
        <v>202</v>
      </c>
      <c r="E2569" t="s">
        <v>12209</v>
      </c>
      <c r="F2569">
        <v>4952</v>
      </c>
      <c r="G2569" t="s">
        <v>474</v>
      </c>
      <c r="H2569" t="s">
        <v>16</v>
      </c>
      <c r="I2569" t="s">
        <v>153</v>
      </c>
      <c r="J2569" t="s">
        <v>154</v>
      </c>
      <c r="K2569" t="s">
        <v>1809</v>
      </c>
      <c r="L2569" t="str">
        <f>HYPERLINK("https://business-monitor.ch/de/companies/606985-eichenberger-automation-gmbh?utm_source=oberaargau","PROFIL ANSEHEN")</f>
        <v>PROFIL ANSEHEN</v>
      </c>
    </row>
    <row r="2570" spans="1:12" x14ac:dyDescent="0.2">
      <c r="A2570" t="s">
        <v>9107</v>
      </c>
      <c r="B2570" t="s">
        <v>9108</v>
      </c>
      <c r="C2570" t="s">
        <v>13</v>
      </c>
      <c r="E2570" t="s">
        <v>9109</v>
      </c>
      <c r="F2570">
        <v>3360</v>
      </c>
      <c r="G2570" t="s">
        <v>35</v>
      </c>
      <c r="H2570" t="s">
        <v>16</v>
      </c>
      <c r="I2570" t="s">
        <v>570</v>
      </c>
      <c r="J2570" t="s">
        <v>571</v>
      </c>
      <c r="K2570" t="s">
        <v>1809</v>
      </c>
      <c r="L2570" t="str">
        <f>HYPERLINK("https://business-monitor.ch/de/companies/173750-primair-ag?utm_source=oberaargau","PROFIL ANSEHEN")</f>
        <v>PROFIL ANSEHEN</v>
      </c>
    </row>
    <row r="2571" spans="1:12" x14ac:dyDescent="0.2">
      <c r="A2571" t="s">
        <v>7647</v>
      </c>
      <c r="B2571" t="s">
        <v>7648</v>
      </c>
      <c r="C2571" t="s">
        <v>202</v>
      </c>
      <c r="E2571" t="s">
        <v>3706</v>
      </c>
      <c r="F2571">
        <v>4917</v>
      </c>
      <c r="G2571" t="s">
        <v>376</v>
      </c>
      <c r="H2571" t="s">
        <v>16</v>
      </c>
      <c r="I2571" t="s">
        <v>77</v>
      </c>
      <c r="J2571" t="s">
        <v>78</v>
      </c>
      <c r="K2571" t="s">
        <v>1809</v>
      </c>
      <c r="L2571" t="str">
        <f>HYPERLINK("https://business-monitor.ch/de/companies/640458-mueller-martin-partner-gmbh?utm_source=oberaargau","PROFIL ANSEHEN")</f>
        <v>PROFIL ANSEHEN</v>
      </c>
    </row>
    <row r="2572" spans="1:12" x14ac:dyDescent="0.2">
      <c r="A2572" t="s">
        <v>3266</v>
      </c>
      <c r="B2572" t="s">
        <v>3267</v>
      </c>
      <c r="C2572" t="s">
        <v>202</v>
      </c>
      <c r="E2572" t="s">
        <v>3268</v>
      </c>
      <c r="F2572">
        <v>4900</v>
      </c>
      <c r="G2572" t="s">
        <v>41</v>
      </c>
      <c r="H2572" t="s">
        <v>16</v>
      </c>
      <c r="I2572" t="s">
        <v>824</v>
      </c>
      <c r="J2572" t="s">
        <v>825</v>
      </c>
      <c r="K2572" t="s">
        <v>1809</v>
      </c>
      <c r="L2572" t="str">
        <f>HYPERLINK("https://business-monitor.ch/de/companies/253784-ristorante-pizzeria-pinocchio-tricolore-gmbh?utm_source=oberaargau","PROFIL ANSEHEN")</f>
        <v>PROFIL ANSEHEN</v>
      </c>
    </row>
    <row r="2573" spans="1:12" x14ac:dyDescent="0.2">
      <c r="A2573" t="s">
        <v>14334</v>
      </c>
      <c r="B2573" t="s">
        <v>14335</v>
      </c>
      <c r="C2573" t="s">
        <v>202</v>
      </c>
      <c r="E2573" t="s">
        <v>6125</v>
      </c>
      <c r="F2573">
        <v>4704</v>
      </c>
      <c r="G2573" t="s">
        <v>221</v>
      </c>
      <c r="H2573" t="s">
        <v>16</v>
      </c>
      <c r="I2573" t="s">
        <v>4039</v>
      </c>
      <c r="J2573" t="s">
        <v>4040</v>
      </c>
      <c r="K2573" t="s">
        <v>1809</v>
      </c>
      <c r="L2573" t="str">
        <f>HYPERLINK("https://business-monitor.ch/de/companies/1290180-aurafitness-re-gmbh?utm_source=oberaargau","PROFIL ANSEHEN")</f>
        <v>PROFIL ANSEHEN</v>
      </c>
    </row>
    <row r="2574" spans="1:12" x14ac:dyDescent="0.2">
      <c r="A2574" t="s">
        <v>10423</v>
      </c>
      <c r="B2574" t="s">
        <v>10424</v>
      </c>
      <c r="C2574" t="s">
        <v>1812</v>
      </c>
      <c r="E2574" t="s">
        <v>4294</v>
      </c>
      <c r="F2574">
        <v>4917</v>
      </c>
      <c r="G2574" t="s">
        <v>376</v>
      </c>
      <c r="H2574" t="s">
        <v>16</v>
      </c>
      <c r="I2574" t="s">
        <v>8707</v>
      </c>
      <c r="J2574" t="s">
        <v>8708</v>
      </c>
      <c r="K2574" t="s">
        <v>1809</v>
      </c>
      <c r="L2574" t="str">
        <f>HYPERLINK("https://business-monitor.ch/de/companies/1093858-bonchi-widanaralalage?utm_source=oberaargau","PROFIL ANSEHEN")</f>
        <v>PROFIL ANSEHEN</v>
      </c>
    </row>
    <row r="2575" spans="1:12" x14ac:dyDescent="0.2">
      <c r="A2575" t="s">
        <v>13561</v>
      </c>
      <c r="B2575" t="s">
        <v>13562</v>
      </c>
      <c r="C2575" t="s">
        <v>13</v>
      </c>
      <c r="E2575" t="s">
        <v>9130</v>
      </c>
      <c r="F2575">
        <v>4933</v>
      </c>
      <c r="G2575" t="s">
        <v>3812</v>
      </c>
      <c r="H2575" t="s">
        <v>16</v>
      </c>
      <c r="I2575" t="s">
        <v>642</v>
      </c>
      <c r="J2575" t="s">
        <v>643</v>
      </c>
      <c r="K2575" t="s">
        <v>1809</v>
      </c>
      <c r="L2575" t="str">
        <f>HYPERLINK("https://business-monitor.ch/de/companies/1264420-berg-garage-ruetschelen-ag?utm_source=oberaargau","PROFIL ANSEHEN")</f>
        <v>PROFIL ANSEHEN</v>
      </c>
    </row>
    <row r="2576" spans="1:12" x14ac:dyDescent="0.2">
      <c r="A2576" t="s">
        <v>11796</v>
      </c>
      <c r="B2576" t="s">
        <v>11797</v>
      </c>
      <c r="C2576" t="s">
        <v>13</v>
      </c>
      <c r="E2576" t="s">
        <v>11798</v>
      </c>
      <c r="F2576">
        <v>4923</v>
      </c>
      <c r="G2576" t="s">
        <v>732</v>
      </c>
      <c r="H2576" t="s">
        <v>16</v>
      </c>
      <c r="I2576" t="s">
        <v>420</v>
      </c>
      <c r="J2576" t="s">
        <v>421</v>
      </c>
      <c r="K2576" t="s">
        <v>1809</v>
      </c>
      <c r="L2576" t="str">
        <f>HYPERLINK("https://business-monitor.ch/de/companies/1158901-greub-finanz-ag?utm_source=oberaargau","PROFIL ANSEHEN")</f>
        <v>PROFIL ANSEHEN</v>
      </c>
    </row>
    <row r="2577" spans="1:12" x14ac:dyDescent="0.2">
      <c r="A2577" t="s">
        <v>10517</v>
      </c>
      <c r="B2577" t="s">
        <v>10518</v>
      </c>
      <c r="C2577" t="s">
        <v>1812</v>
      </c>
      <c r="E2577" t="s">
        <v>10519</v>
      </c>
      <c r="F2577">
        <v>4934</v>
      </c>
      <c r="G2577" t="s">
        <v>670</v>
      </c>
      <c r="H2577" t="s">
        <v>16</v>
      </c>
      <c r="I2577" t="s">
        <v>1401</v>
      </c>
      <c r="J2577" t="s">
        <v>1402</v>
      </c>
      <c r="K2577" t="s">
        <v>1809</v>
      </c>
      <c r="L2577" t="str">
        <f>HYPERLINK("https://business-monitor.ch/de/companies/448787-blumengeschaeft-und-gaertnerei-sommer?utm_source=oberaargau","PROFIL ANSEHEN")</f>
        <v>PROFIL ANSEHEN</v>
      </c>
    </row>
    <row r="2578" spans="1:12" x14ac:dyDescent="0.2">
      <c r="A2578" t="s">
        <v>2094</v>
      </c>
      <c r="B2578" t="s">
        <v>2095</v>
      </c>
      <c r="C2578" t="s">
        <v>1812</v>
      </c>
      <c r="E2578" t="s">
        <v>2096</v>
      </c>
      <c r="F2578">
        <v>4950</v>
      </c>
      <c r="G2578" t="s">
        <v>15</v>
      </c>
      <c r="H2578" t="s">
        <v>16</v>
      </c>
      <c r="I2578" t="s">
        <v>1860</v>
      </c>
      <c r="J2578" t="s">
        <v>1861</v>
      </c>
      <c r="K2578" t="s">
        <v>1809</v>
      </c>
      <c r="L2578" t="str">
        <f>HYPERLINK("https://business-monitor.ch/de/companies/85623-haargenau-irene-leuenberger?utm_source=oberaargau","PROFIL ANSEHEN")</f>
        <v>PROFIL ANSEHEN</v>
      </c>
    </row>
    <row r="2579" spans="1:12" x14ac:dyDescent="0.2">
      <c r="A2579" t="s">
        <v>4042</v>
      </c>
      <c r="B2579" t="s">
        <v>4043</v>
      </c>
      <c r="C2579" t="s">
        <v>1812</v>
      </c>
      <c r="E2579" t="s">
        <v>4044</v>
      </c>
      <c r="F2579">
        <v>4914</v>
      </c>
      <c r="G2579" t="s">
        <v>105</v>
      </c>
      <c r="H2579" t="s">
        <v>16</v>
      </c>
      <c r="I2579" t="s">
        <v>1535</v>
      </c>
      <c r="J2579" t="s">
        <v>1536</v>
      </c>
      <c r="K2579" t="s">
        <v>1809</v>
      </c>
      <c r="L2579" t="str">
        <f>HYPERLINK("https://business-monitor.ch/de/companies/996343-messerli-gartenbau?utm_source=oberaargau","PROFIL ANSEHEN")</f>
        <v>PROFIL ANSEHEN</v>
      </c>
    </row>
    <row r="2580" spans="1:12" x14ac:dyDescent="0.2">
      <c r="A2580" t="s">
        <v>11900</v>
      </c>
      <c r="B2580" t="s">
        <v>11901</v>
      </c>
      <c r="C2580" t="s">
        <v>202</v>
      </c>
      <c r="E2580" t="s">
        <v>2705</v>
      </c>
      <c r="F2580">
        <v>4900</v>
      </c>
      <c r="G2580" t="s">
        <v>41</v>
      </c>
      <c r="H2580" t="s">
        <v>16</v>
      </c>
      <c r="I2580" t="s">
        <v>5080</v>
      </c>
      <c r="J2580" t="s">
        <v>5081</v>
      </c>
      <c r="K2580" t="s">
        <v>1809</v>
      </c>
      <c r="L2580" t="str">
        <f>HYPERLINK("https://business-monitor.ch/de/companies/617337-minikita-schweiz-gmbh?utm_source=oberaargau","PROFIL ANSEHEN")</f>
        <v>PROFIL ANSEHEN</v>
      </c>
    </row>
    <row r="2581" spans="1:12" x14ac:dyDescent="0.2">
      <c r="A2581" t="s">
        <v>7083</v>
      </c>
      <c r="B2581" t="s">
        <v>7084</v>
      </c>
      <c r="C2581" t="s">
        <v>1812</v>
      </c>
      <c r="E2581" t="s">
        <v>7085</v>
      </c>
      <c r="F2581">
        <v>3380</v>
      </c>
      <c r="G2581" t="s">
        <v>29</v>
      </c>
      <c r="H2581" t="s">
        <v>16</v>
      </c>
      <c r="I2581" t="s">
        <v>1936</v>
      </c>
      <c r="J2581" t="s">
        <v>1937</v>
      </c>
      <c r="K2581" t="s">
        <v>1809</v>
      </c>
      <c r="L2581" t="str">
        <f>HYPERLINK("https://business-monitor.ch/de/companies/717453-agentur-daniela-schneider?utm_source=oberaargau","PROFIL ANSEHEN")</f>
        <v>PROFIL ANSEHEN</v>
      </c>
    </row>
    <row r="2582" spans="1:12" x14ac:dyDescent="0.2">
      <c r="A2582" t="s">
        <v>8208</v>
      </c>
      <c r="B2582" t="s">
        <v>8209</v>
      </c>
      <c r="C2582" t="s">
        <v>1812</v>
      </c>
      <c r="E2582" t="s">
        <v>8210</v>
      </c>
      <c r="F2582">
        <v>4934</v>
      </c>
      <c r="G2582" t="s">
        <v>670</v>
      </c>
      <c r="H2582" t="s">
        <v>16</v>
      </c>
      <c r="I2582" t="s">
        <v>1576</v>
      </c>
      <c r="J2582" t="s">
        <v>1577</v>
      </c>
      <c r="K2582" t="s">
        <v>1809</v>
      </c>
      <c r="L2582" t="str">
        <f>HYPERLINK("https://business-monitor.ch/de/companies/131547-joerg-wittwer?utm_source=oberaargau","PROFIL ANSEHEN")</f>
        <v>PROFIL ANSEHEN</v>
      </c>
    </row>
    <row r="2583" spans="1:12" x14ac:dyDescent="0.2">
      <c r="A2583" t="s">
        <v>8216</v>
      </c>
      <c r="B2583" t="s">
        <v>8217</v>
      </c>
      <c r="C2583" t="s">
        <v>202</v>
      </c>
      <c r="E2583" t="s">
        <v>8218</v>
      </c>
      <c r="F2583">
        <v>3360</v>
      </c>
      <c r="G2583" t="s">
        <v>35</v>
      </c>
      <c r="H2583" t="s">
        <v>16</v>
      </c>
      <c r="I2583" t="s">
        <v>232</v>
      </c>
      <c r="J2583" t="s">
        <v>233</v>
      </c>
      <c r="K2583" t="s">
        <v>1809</v>
      </c>
      <c r="L2583" t="str">
        <f>HYPERLINK("https://business-monitor.ch/de/companies/87806-frey-treuhand-gmbh?utm_source=oberaargau","PROFIL ANSEHEN")</f>
        <v>PROFIL ANSEHEN</v>
      </c>
    </row>
    <row r="2584" spans="1:12" x14ac:dyDescent="0.2">
      <c r="A2584" t="s">
        <v>3623</v>
      </c>
      <c r="B2584" t="s">
        <v>3624</v>
      </c>
      <c r="C2584" t="s">
        <v>13</v>
      </c>
      <c r="E2584" t="s">
        <v>3625</v>
      </c>
      <c r="F2584">
        <v>4922</v>
      </c>
      <c r="G2584" t="s">
        <v>1318</v>
      </c>
      <c r="H2584" t="s">
        <v>16</v>
      </c>
      <c r="I2584" t="s">
        <v>824</v>
      </c>
      <c r="J2584" t="s">
        <v>825</v>
      </c>
      <c r="K2584" t="s">
        <v>1809</v>
      </c>
      <c r="L2584" t="str">
        <f>HYPERLINK("https://business-monitor.ch/de/companies/83597-loewen-thunstetten-ag?utm_source=oberaargau","PROFIL ANSEHEN")</f>
        <v>PROFIL ANSEHEN</v>
      </c>
    </row>
    <row r="2585" spans="1:12" x14ac:dyDescent="0.2">
      <c r="A2585" t="s">
        <v>6806</v>
      </c>
      <c r="B2585" t="s">
        <v>6807</v>
      </c>
      <c r="C2585" t="s">
        <v>13</v>
      </c>
      <c r="E2585" t="s">
        <v>4720</v>
      </c>
      <c r="F2585">
        <v>4917</v>
      </c>
      <c r="G2585" t="s">
        <v>376</v>
      </c>
      <c r="H2585" t="s">
        <v>16</v>
      </c>
      <c r="I2585" t="s">
        <v>167</v>
      </c>
      <c r="J2585" t="s">
        <v>168</v>
      </c>
      <c r="K2585" t="s">
        <v>1809</v>
      </c>
      <c r="L2585" t="str">
        <f>HYPERLINK("https://business-monitor.ch/de/companies/92023-jenzer-ag-melchnau?utm_source=oberaargau","PROFIL ANSEHEN")</f>
        <v>PROFIL ANSEHEN</v>
      </c>
    </row>
    <row r="2586" spans="1:12" x14ac:dyDescent="0.2">
      <c r="A2586" t="s">
        <v>5693</v>
      </c>
      <c r="B2586" t="s">
        <v>5694</v>
      </c>
      <c r="C2586" t="s">
        <v>1812</v>
      </c>
      <c r="E2586" t="s">
        <v>5695</v>
      </c>
      <c r="F2586">
        <v>3360</v>
      </c>
      <c r="G2586" t="s">
        <v>35</v>
      </c>
      <c r="H2586" t="s">
        <v>16</v>
      </c>
      <c r="I2586" t="s">
        <v>5696</v>
      </c>
      <c r="J2586" t="s">
        <v>5697</v>
      </c>
      <c r="K2586" t="s">
        <v>1809</v>
      </c>
      <c r="L2586" t="str">
        <f>HYPERLINK("https://business-monitor.ch/de/companies/136975-buchbinderei-einrahmungen-papeterie-zum-tintenfass-a-spaeti?utm_source=oberaargau","PROFIL ANSEHEN")</f>
        <v>PROFIL ANSEHEN</v>
      </c>
    </row>
    <row r="2587" spans="1:12" x14ac:dyDescent="0.2">
      <c r="A2587" t="s">
        <v>7300</v>
      </c>
      <c r="B2587" t="s">
        <v>7301</v>
      </c>
      <c r="C2587" t="s">
        <v>202</v>
      </c>
      <c r="D2587" t="s">
        <v>7302</v>
      </c>
      <c r="E2587" t="s">
        <v>11658</v>
      </c>
      <c r="F2587">
        <v>4912</v>
      </c>
      <c r="G2587" t="s">
        <v>64</v>
      </c>
      <c r="H2587" t="s">
        <v>16</v>
      </c>
      <c r="I2587" t="s">
        <v>1557</v>
      </c>
      <c r="J2587" t="s">
        <v>1558</v>
      </c>
      <c r="K2587" t="s">
        <v>1809</v>
      </c>
      <c r="L2587" t="str">
        <f>HYPERLINK("https://business-monitor.ch/de/companies/1006181-vakeesan-gmbh?utm_source=oberaargau","PROFIL ANSEHEN")</f>
        <v>PROFIL ANSEHEN</v>
      </c>
    </row>
    <row r="2588" spans="1:12" x14ac:dyDescent="0.2">
      <c r="A2588" t="s">
        <v>13767</v>
      </c>
      <c r="B2588" t="s">
        <v>13768</v>
      </c>
      <c r="C2588" t="s">
        <v>202</v>
      </c>
      <c r="D2588" t="s">
        <v>13769</v>
      </c>
      <c r="E2588" t="s">
        <v>3224</v>
      </c>
      <c r="F2588">
        <v>3380</v>
      </c>
      <c r="G2588" t="s">
        <v>29</v>
      </c>
      <c r="H2588" t="s">
        <v>16</v>
      </c>
      <c r="I2588" t="s">
        <v>186</v>
      </c>
      <c r="J2588" t="s">
        <v>187</v>
      </c>
      <c r="K2588" t="s">
        <v>1809</v>
      </c>
      <c r="L2588" t="str">
        <f>HYPERLINK("https://business-monitor.ch/de/companies/1260059-vtec-holding-gmbh?utm_source=oberaargau","PROFIL ANSEHEN")</f>
        <v>PROFIL ANSEHEN</v>
      </c>
    </row>
    <row r="2589" spans="1:12" x14ac:dyDescent="0.2">
      <c r="A2589" t="s">
        <v>2082</v>
      </c>
      <c r="B2589" t="s">
        <v>2083</v>
      </c>
      <c r="C2589" t="s">
        <v>1812</v>
      </c>
      <c r="E2589" t="s">
        <v>14524</v>
      </c>
      <c r="F2589">
        <v>4536</v>
      </c>
      <c r="G2589" t="s">
        <v>1395</v>
      </c>
      <c r="H2589" t="s">
        <v>16</v>
      </c>
      <c r="I2589" t="s">
        <v>1053</v>
      </c>
      <c r="J2589" t="s">
        <v>1054</v>
      </c>
      <c r="K2589" t="s">
        <v>1809</v>
      </c>
      <c r="L2589" t="str">
        <f>HYPERLINK("https://business-monitor.ch/de/companies/135244-ryf-raumgestaltung?utm_source=oberaargau","PROFIL ANSEHEN")</f>
        <v>PROFIL ANSEHEN</v>
      </c>
    </row>
    <row r="2590" spans="1:12" x14ac:dyDescent="0.2">
      <c r="A2590" t="s">
        <v>5854</v>
      </c>
      <c r="B2590" t="s">
        <v>10762</v>
      </c>
      <c r="C2590" t="s">
        <v>13</v>
      </c>
      <c r="E2590" t="s">
        <v>5856</v>
      </c>
      <c r="F2590">
        <v>4900</v>
      </c>
      <c r="G2590" t="s">
        <v>41</v>
      </c>
      <c r="H2590" t="s">
        <v>16</v>
      </c>
      <c r="I2590" t="s">
        <v>157</v>
      </c>
      <c r="J2590" t="s">
        <v>158</v>
      </c>
      <c r="K2590" t="s">
        <v>1809</v>
      </c>
      <c r="L2590" t="str">
        <f>HYPERLINK("https://business-monitor.ch/de/companies/510685-blaeuenstein-ag-infrastruktur?utm_source=oberaargau","PROFIL ANSEHEN")</f>
        <v>PROFIL ANSEHEN</v>
      </c>
    </row>
    <row r="2591" spans="1:12" x14ac:dyDescent="0.2">
      <c r="A2591" t="s">
        <v>6788</v>
      </c>
      <c r="B2591" t="s">
        <v>6789</v>
      </c>
      <c r="C2591" t="s">
        <v>2258</v>
      </c>
      <c r="D2591" t="s">
        <v>6790</v>
      </c>
      <c r="E2591" t="s">
        <v>6791</v>
      </c>
      <c r="F2591">
        <v>3360</v>
      </c>
      <c r="G2591" t="s">
        <v>35</v>
      </c>
      <c r="H2591" t="s">
        <v>16</v>
      </c>
      <c r="I2591" t="s">
        <v>2912</v>
      </c>
      <c r="J2591" t="s">
        <v>2913</v>
      </c>
      <c r="K2591" t="s">
        <v>1809</v>
      </c>
      <c r="L2591" t="str">
        <f>HYPERLINK("https://business-monitor.ch/de/companies/96217-asociacion-ninos-de-la-tierra?utm_source=oberaargau","PROFIL ANSEHEN")</f>
        <v>PROFIL ANSEHEN</v>
      </c>
    </row>
    <row r="2592" spans="1:12" x14ac:dyDescent="0.2">
      <c r="A2592" t="s">
        <v>2332</v>
      </c>
      <c r="B2592" t="s">
        <v>2333</v>
      </c>
      <c r="C2592" t="s">
        <v>13</v>
      </c>
      <c r="E2592" t="s">
        <v>2334</v>
      </c>
      <c r="F2592">
        <v>4938</v>
      </c>
      <c r="G2592" t="s">
        <v>618</v>
      </c>
      <c r="H2592" t="s">
        <v>16</v>
      </c>
      <c r="I2592" t="s">
        <v>24</v>
      </c>
      <c r="J2592" t="s">
        <v>25</v>
      </c>
      <c r="K2592" t="s">
        <v>1809</v>
      </c>
      <c r="L2592" t="str">
        <f>HYPERLINK("https://business-monitor.ch/de/companies/222410-netcast-ag?utm_source=oberaargau","PROFIL ANSEHEN")</f>
        <v>PROFIL ANSEHEN</v>
      </c>
    </row>
    <row r="2593" spans="1:12" x14ac:dyDescent="0.2">
      <c r="A2593" t="s">
        <v>9308</v>
      </c>
      <c r="B2593" t="s">
        <v>9309</v>
      </c>
      <c r="C2593" t="s">
        <v>1812</v>
      </c>
      <c r="E2593" t="s">
        <v>5453</v>
      </c>
      <c r="F2593">
        <v>4900</v>
      </c>
      <c r="G2593" t="s">
        <v>41</v>
      </c>
      <c r="H2593" t="s">
        <v>16</v>
      </c>
      <c r="I2593" t="s">
        <v>157</v>
      </c>
      <c r="J2593" t="s">
        <v>158</v>
      </c>
      <c r="K2593" t="s">
        <v>1809</v>
      </c>
      <c r="L2593" t="str">
        <f>HYPERLINK("https://business-monitor.ch/de/companies/97072-inter-polyhome-pietro-fornara?utm_source=oberaargau","PROFIL ANSEHEN")</f>
        <v>PROFIL ANSEHEN</v>
      </c>
    </row>
    <row r="2594" spans="1:12" x14ac:dyDescent="0.2">
      <c r="A2594" t="s">
        <v>13238</v>
      </c>
      <c r="B2594" t="s">
        <v>13239</v>
      </c>
      <c r="C2594" t="s">
        <v>202</v>
      </c>
      <c r="E2594" t="s">
        <v>10049</v>
      </c>
      <c r="F2594">
        <v>4704</v>
      </c>
      <c r="G2594" t="s">
        <v>221</v>
      </c>
      <c r="H2594" t="s">
        <v>16</v>
      </c>
      <c r="I2594" t="s">
        <v>603</v>
      </c>
      <c r="J2594" t="s">
        <v>604</v>
      </c>
      <c r="K2594" t="s">
        <v>1809</v>
      </c>
      <c r="L2594" t="str">
        <f>HYPERLINK("https://business-monitor.ch/de/companies/1241616-wolino-gmbh?utm_source=oberaargau","PROFIL ANSEHEN")</f>
        <v>PROFIL ANSEHEN</v>
      </c>
    </row>
    <row r="2595" spans="1:12" x14ac:dyDescent="0.2">
      <c r="A2595" t="s">
        <v>11118</v>
      </c>
      <c r="B2595" t="s">
        <v>12559</v>
      </c>
      <c r="C2595" t="s">
        <v>1827</v>
      </c>
      <c r="E2595" t="s">
        <v>11119</v>
      </c>
      <c r="F2595">
        <v>4704</v>
      </c>
      <c r="G2595" t="s">
        <v>221</v>
      </c>
      <c r="H2595" t="s">
        <v>16</v>
      </c>
      <c r="I2595" t="s">
        <v>8345</v>
      </c>
      <c r="J2595" t="s">
        <v>8346</v>
      </c>
      <c r="K2595" t="s">
        <v>1809</v>
      </c>
      <c r="L2595" t="str">
        <f>HYPERLINK("https://business-monitor.ch/de/companies/1112237-gemeinschaftsbetrieb-rotboden-klg?utm_source=oberaargau","PROFIL ANSEHEN")</f>
        <v>PROFIL ANSEHEN</v>
      </c>
    </row>
    <row r="2596" spans="1:12" x14ac:dyDescent="0.2">
      <c r="A2596" t="s">
        <v>5084</v>
      </c>
      <c r="B2596" t="s">
        <v>5085</v>
      </c>
      <c r="C2596" t="s">
        <v>13</v>
      </c>
      <c r="E2596" t="s">
        <v>5086</v>
      </c>
      <c r="F2596">
        <v>4914</v>
      </c>
      <c r="G2596" t="s">
        <v>105</v>
      </c>
      <c r="H2596" t="s">
        <v>16</v>
      </c>
      <c r="I2596" t="s">
        <v>167</v>
      </c>
      <c r="J2596" t="s">
        <v>168</v>
      </c>
      <c r="K2596" t="s">
        <v>1809</v>
      </c>
      <c r="L2596" t="str">
        <f>HYPERLINK("https://business-monitor.ch/de/companies/258258-meyer-bau-ag-roggwil?utm_source=oberaargau","PROFIL ANSEHEN")</f>
        <v>PROFIL ANSEHEN</v>
      </c>
    </row>
    <row r="2597" spans="1:12" x14ac:dyDescent="0.2">
      <c r="A2597" t="s">
        <v>14525</v>
      </c>
      <c r="B2597" t="s">
        <v>14526</v>
      </c>
      <c r="C2597" t="s">
        <v>202</v>
      </c>
      <c r="E2597" t="s">
        <v>14527</v>
      </c>
      <c r="F2597">
        <v>4916</v>
      </c>
      <c r="G2597" t="s">
        <v>780</v>
      </c>
      <c r="H2597" t="s">
        <v>16</v>
      </c>
      <c r="I2597" t="s">
        <v>935</v>
      </c>
      <c r="J2597" t="s">
        <v>936</v>
      </c>
      <c r="K2597" t="s">
        <v>1809</v>
      </c>
      <c r="L2597" t="str">
        <f>HYPERLINK("https://business-monitor.ch/de/companies/1309592-forest-home-gmbh?utm_source=oberaargau","PROFIL ANSEHEN")</f>
        <v>PROFIL ANSEHEN</v>
      </c>
    </row>
    <row r="2598" spans="1:12" x14ac:dyDescent="0.2">
      <c r="A2598" t="s">
        <v>10505</v>
      </c>
      <c r="B2598" t="s">
        <v>10506</v>
      </c>
      <c r="C2598" t="s">
        <v>202</v>
      </c>
      <c r="E2598" t="s">
        <v>110</v>
      </c>
      <c r="F2598">
        <v>3380</v>
      </c>
      <c r="G2598" t="s">
        <v>29</v>
      </c>
      <c r="H2598" t="s">
        <v>16</v>
      </c>
      <c r="I2598" t="s">
        <v>854</v>
      </c>
      <c r="J2598" t="s">
        <v>855</v>
      </c>
      <c r="K2598" t="s">
        <v>1809</v>
      </c>
      <c r="L2598" t="str">
        <f>HYPERLINK("https://business-monitor.ch/de/companies/685079-enermore-gmbh?utm_source=oberaargau","PROFIL ANSEHEN")</f>
        <v>PROFIL ANSEHEN</v>
      </c>
    </row>
    <row r="2599" spans="1:12" x14ac:dyDescent="0.2">
      <c r="A2599" t="s">
        <v>13884</v>
      </c>
      <c r="B2599" t="s">
        <v>13885</v>
      </c>
      <c r="C2599" t="s">
        <v>1827</v>
      </c>
      <c r="E2599" t="s">
        <v>11852</v>
      </c>
      <c r="F2599">
        <v>4912</v>
      </c>
      <c r="G2599" t="s">
        <v>64</v>
      </c>
      <c r="H2599" t="s">
        <v>16</v>
      </c>
      <c r="I2599" t="s">
        <v>1865</v>
      </c>
      <c r="J2599" t="s">
        <v>1866</v>
      </c>
      <c r="K2599" t="s">
        <v>1809</v>
      </c>
      <c r="L2599" t="str">
        <f>HYPERLINK("https://business-monitor.ch/de/companies/1270632-haldimann-eifler-reinigungen-klg?utm_source=oberaargau","PROFIL ANSEHEN")</f>
        <v>PROFIL ANSEHEN</v>
      </c>
    </row>
    <row r="2600" spans="1:12" x14ac:dyDescent="0.2">
      <c r="A2600" t="s">
        <v>14528</v>
      </c>
      <c r="B2600" t="s">
        <v>14529</v>
      </c>
      <c r="C2600" t="s">
        <v>1812</v>
      </c>
      <c r="E2600" t="s">
        <v>14530</v>
      </c>
      <c r="F2600">
        <v>4900</v>
      </c>
      <c r="G2600" t="s">
        <v>41</v>
      </c>
      <c r="H2600" t="s">
        <v>16</v>
      </c>
      <c r="I2600" t="s">
        <v>14531</v>
      </c>
      <c r="J2600" t="s">
        <v>14532</v>
      </c>
      <c r="K2600" t="s">
        <v>1809</v>
      </c>
      <c r="L2600" t="str">
        <f>HYPERLINK("https://business-monitor.ch/de/companies/1300022-pregaso-kugi?utm_source=oberaargau","PROFIL ANSEHEN")</f>
        <v>PROFIL ANSEHEN</v>
      </c>
    </row>
    <row r="2601" spans="1:12" x14ac:dyDescent="0.2">
      <c r="A2601" t="s">
        <v>5514</v>
      </c>
      <c r="B2601" t="s">
        <v>5515</v>
      </c>
      <c r="C2601" t="s">
        <v>1812</v>
      </c>
      <c r="E2601" t="s">
        <v>5516</v>
      </c>
      <c r="F2601">
        <v>4912</v>
      </c>
      <c r="G2601" t="s">
        <v>64</v>
      </c>
      <c r="H2601" t="s">
        <v>16</v>
      </c>
      <c r="I2601" t="s">
        <v>298</v>
      </c>
      <c r="J2601" t="s">
        <v>299</v>
      </c>
      <c r="K2601" t="s">
        <v>1809</v>
      </c>
      <c r="L2601" t="str">
        <f>HYPERLINK("https://business-monitor.ch/de/companies/108257-meyer-handelsunternehmung?utm_source=oberaargau","PROFIL ANSEHEN")</f>
        <v>PROFIL ANSEHEN</v>
      </c>
    </row>
    <row r="2602" spans="1:12" x14ac:dyDescent="0.2">
      <c r="A2602" t="s">
        <v>5930</v>
      </c>
      <c r="B2602" t="s">
        <v>5931</v>
      </c>
      <c r="C2602" t="s">
        <v>13</v>
      </c>
      <c r="D2602" t="s">
        <v>5932</v>
      </c>
      <c r="E2602" t="s">
        <v>5933</v>
      </c>
      <c r="F2602">
        <v>4912</v>
      </c>
      <c r="G2602" t="s">
        <v>64</v>
      </c>
      <c r="H2602" t="s">
        <v>16</v>
      </c>
      <c r="I2602" t="s">
        <v>182</v>
      </c>
      <c r="J2602" t="s">
        <v>183</v>
      </c>
      <c r="K2602" t="s">
        <v>1809</v>
      </c>
      <c r="L2602" t="str">
        <f>HYPERLINK("https://business-monitor.ch/de/companies/6028-gussimpex-holding-ag?utm_source=oberaargau","PROFIL ANSEHEN")</f>
        <v>PROFIL ANSEHEN</v>
      </c>
    </row>
    <row r="2603" spans="1:12" x14ac:dyDescent="0.2">
      <c r="A2603" t="s">
        <v>11807</v>
      </c>
      <c r="B2603" t="s">
        <v>11808</v>
      </c>
      <c r="C2603" t="s">
        <v>202</v>
      </c>
      <c r="E2603" t="s">
        <v>11809</v>
      </c>
      <c r="F2603">
        <v>3362</v>
      </c>
      <c r="G2603" t="s">
        <v>47</v>
      </c>
      <c r="H2603" t="s">
        <v>16</v>
      </c>
      <c r="I2603" t="s">
        <v>551</v>
      </c>
      <c r="J2603" t="s">
        <v>552</v>
      </c>
      <c r="K2603" t="s">
        <v>1809</v>
      </c>
      <c r="L2603" t="str">
        <f>HYPERLINK("https://business-monitor.ch/de/companies/732982-aebi-consulting-gmbh?utm_source=oberaargau","PROFIL ANSEHEN")</f>
        <v>PROFIL ANSEHEN</v>
      </c>
    </row>
    <row r="2604" spans="1:12" x14ac:dyDescent="0.2">
      <c r="A2604" t="s">
        <v>8472</v>
      </c>
      <c r="B2604" t="s">
        <v>8473</v>
      </c>
      <c r="C2604" t="s">
        <v>13</v>
      </c>
      <c r="E2604" t="s">
        <v>6611</v>
      </c>
      <c r="F2604">
        <v>4950</v>
      </c>
      <c r="G2604" t="s">
        <v>15</v>
      </c>
      <c r="H2604" t="s">
        <v>16</v>
      </c>
      <c r="I2604" t="s">
        <v>157</v>
      </c>
      <c r="J2604" t="s">
        <v>158</v>
      </c>
      <c r="K2604" t="s">
        <v>1809</v>
      </c>
      <c r="L2604" t="str">
        <f>HYPERLINK("https://business-monitor.ch/de/companies/43049-subsole-ag?utm_source=oberaargau","PROFIL ANSEHEN")</f>
        <v>PROFIL ANSEHEN</v>
      </c>
    </row>
    <row r="2605" spans="1:12" x14ac:dyDescent="0.2">
      <c r="A2605" t="s">
        <v>5121</v>
      </c>
      <c r="B2605" t="s">
        <v>5122</v>
      </c>
      <c r="C2605" t="s">
        <v>1812</v>
      </c>
      <c r="E2605" t="s">
        <v>5123</v>
      </c>
      <c r="F2605">
        <v>4538</v>
      </c>
      <c r="G2605" t="s">
        <v>71</v>
      </c>
      <c r="H2605" t="s">
        <v>16</v>
      </c>
      <c r="I2605" t="s">
        <v>781</v>
      </c>
      <c r="J2605" t="s">
        <v>782</v>
      </c>
      <c r="K2605" t="s">
        <v>1809</v>
      </c>
      <c r="L2605" t="str">
        <f>HYPERLINK("https://business-monitor.ch/de/companies/131184-helmut-staudacher-landtechnik-und-reparatur-werkstatt?utm_source=oberaargau","PROFIL ANSEHEN")</f>
        <v>PROFIL ANSEHEN</v>
      </c>
    </row>
    <row r="2606" spans="1:12" x14ac:dyDescent="0.2">
      <c r="A2606" t="s">
        <v>9971</v>
      </c>
      <c r="B2606" t="s">
        <v>9972</v>
      </c>
      <c r="C2606" t="s">
        <v>13</v>
      </c>
      <c r="E2606" t="s">
        <v>12422</v>
      </c>
      <c r="F2606">
        <v>4704</v>
      </c>
      <c r="G2606" t="s">
        <v>221</v>
      </c>
      <c r="H2606" t="s">
        <v>16</v>
      </c>
      <c r="I2606" t="s">
        <v>1535</v>
      </c>
      <c r="J2606" t="s">
        <v>1536</v>
      </c>
      <c r="K2606" t="s">
        <v>1809</v>
      </c>
      <c r="L2606" t="str">
        <f>HYPERLINK("https://business-monitor.ch/de/companies/926263-zueger-gartenbau-ag?utm_source=oberaargau","PROFIL ANSEHEN")</f>
        <v>PROFIL ANSEHEN</v>
      </c>
    </row>
    <row r="2607" spans="1:12" x14ac:dyDescent="0.2">
      <c r="A2607" t="s">
        <v>650</v>
      </c>
      <c r="B2607" t="s">
        <v>651</v>
      </c>
      <c r="C2607" t="s">
        <v>13</v>
      </c>
      <c r="E2607" t="s">
        <v>652</v>
      </c>
      <c r="F2607">
        <v>4914</v>
      </c>
      <c r="G2607" t="s">
        <v>105</v>
      </c>
      <c r="H2607" t="s">
        <v>16</v>
      </c>
      <c r="I2607" t="s">
        <v>653</v>
      </c>
      <c r="J2607" t="s">
        <v>654</v>
      </c>
      <c r="K2607" t="s">
        <v>1809</v>
      </c>
      <c r="L2607" t="str">
        <f>HYPERLINK("https://business-monitor.ch/de/companies/461947-sorglos-design-ag?utm_source=oberaargau","PROFIL ANSEHEN")</f>
        <v>PROFIL ANSEHEN</v>
      </c>
    </row>
    <row r="2608" spans="1:12" x14ac:dyDescent="0.2">
      <c r="A2608" t="s">
        <v>6802</v>
      </c>
      <c r="B2608" t="s">
        <v>6803</v>
      </c>
      <c r="C2608" t="s">
        <v>13</v>
      </c>
      <c r="E2608" t="s">
        <v>13603</v>
      </c>
      <c r="F2608">
        <v>4900</v>
      </c>
      <c r="G2608" t="s">
        <v>41</v>
      </c>
      <c r="H2608" t="s">
        <v>16</v>
      </c>
      <c r="I2608" t="s">
        <v>186</v>
      </c>
      <c r="J2608" t="s">
        <v>187</v>
      </c>
      <c r="K2608" t="s">
        <v>1809</v>
      </c>
      <c r="L2608" t="str">
        <f>HYPERLINK("https://business-monitor.ch/de/companies/94694-aws-beteiligungs-ag?utm_source=oberaargau","PROFIL ANSEHEN")</f>
        <v>PROFIL ANSEHEN</v>
      </c>
    </row>
    <row r="2609" spans="1:12" x14ac:dyDescent="0.2">
      <c r="A2609" t="s">
        <v>4033</v>
      </c>
      <c r="B2609" t="s">
        <v>4034</v>
      </c>
      <c r="C2609" t="s">
        <v>1812</v>
      </c>
      <c r="E2609" t="s">
        <v>4035</v>
      </c>
      <c r="F2609">
        <v>4950</v>
      </c>
      <c r="G2609" t="s">
        <v>15</v>
      </c>
      <c r="H2609" t="s">
        <v>16</v>
      </c>
      <c r="I2609" t="s">
        <v>2315</v>
      </c>
      <c r="J2609" t="s">
        <v>2316</v>
      </c>
      <c r="K2609" t="s">
        <v>1809</v>
      </c>
      <c r="L2609" t="str">
        <f>HYPERLINK("https://business-monitor.ch/de/companies/1048046-krieger-ski-board?utm_source=oberaargau","PROFIL ANSEHEN")</f>
        <v>PROFIL ANSEHEN</v>
      </c>
    </row>
    <row r="2610" spans="1:12" x14ac:dyDescent="0.2">
      <c r="A2610" t="s">
        <v>13002</v>
      </c>
      <c r="B2610" t="s">
        <v>13003</v>
      </c>
      <c r="C2610" t="s">
        <v>1812</v>
      </c>
      <c r="E2610" t="s">
        <v>2837</v>
      </c>
      <c r="F2610">
        <v>3360</v>
      </c>
      <c r="G2610" t="s">
        <v>35</v>
      </c>
      <c r="H2610" t="s">
        <v>16</v>
      </c>
      <c r="I2610" t="s">
        <v>824</v>
      </c>
      <c r="J2610" t="s">
        <v>825</v>
      </c>
      <c r="K2610" t="s">
        <v>1809</v>
      </c>
      <c r="L2610" t="str">
        <f>HYPERLINK("https://business-monitor.ch/de/companies/1239110-er-phoenix?utm_source=oberaargau","PROFIL ANSEHEN")</f>
        <v>PROFIL ANSEHEN</v>
      </c>
    </row>
    <row r="2611" spans="1:12" x14ac:dyDescent="0.2">
      <c r="A2611" t="s">
        <v>5563</v>
      </c>
      <c r="B2611" t="s">
        <v>5564</v>
      </c>
      <c r="C2611" t="s">
        <v>1812</v>
      </c>
      <c r="E2611" t="s">
        <v>5565</v>
      </c>
      <c r="F2611">
        <v>4934</v>
      </c>
      <c r="G2611" t="s">
        <v>670</v>
      </c>
      <c r="H2611" t="s">
        <v>16</v>
      </c>
      <c r="I2611" t="s">
        <v>3339</v>
      </c>
      <c r="J2611" t="s">
        <v>3340</v>
      </c>
      <c r="K2611" t="s">
        <v>1809</v>
      </c>
      <c r="L2611" t="str">
        <f>HYPERLINK("https://business-monitor.ch/de/companies/1083780-marending-jobrange-handel?utm_source=oberaargau","PROFIL ANSEHEN")</f>
        <v>PROFIL ANSEHEN</v>
      </c>
    </row>
    <row r="2612" spans="1:12" x14ac:dyDescent="0.2">
      <c r="A2612" t="s">
        <v>11580</v>
      </c>
      <c r="B2612" t="s">
        <v>11581</v>
      </c>
      <c r="C2612" t="s">
        <v>13</v>
      </c>
      <c r="D2612" t="s">
        <v>11582</v>
      </c>
      <c r="E2612" t="s">
        <v>11583</v>
      </c>
      <c r="F2612">
        <v>4914</v>
      </c>
      <c r="G2612" t="s">
        <v>105</v>
      </c>
      <c r="H2612" t="s">
        <v>16</v>
      </c>
      <c r="I2612" t="s">
        <v>935</v>
      </c>
      <c r="J2612" t="s">
        <v>936</v>
      </c>
      <c r="K2612" t="s">
        <v>1809</v>
      </c>
      <c r="L2612" t="str">
        <f>HYPERLINK("https://business-monitor.ch/de/companies/1149357-begit-homes-ag?utm_source=oberaargau","PROFIL ANSEHEN")</f>
        <v>PROFIL ANSEHEN</v>
      </c>
    </row>
    <row r="2613" spans="1:12" x14ac:dyDescent="0.2">
      <c r="A2613" t="s">
        <v>5840</v>
      </c>
      <c r="B2613" t="s">
        <v>5841</v>
      </c>
      <c r="C2613" t="s">
        <v>13</v>
      </c>
      <c r="E2613" t="s">
        <v>5842</v>
      </c>
      <c r="F2613">
        <v>4537</v>
      </c>
      <c r="G2613" t="s">
        <v>113</v>
      </c>
      <c r="H2613" t="s">
        <v>16</v>
      </c>
      <c r="I2613" t="s">
        <v>3746</v>
      </c>
      <c r="J2613" t="s">
        <v>3747</v>
      </c>
      <c r="K2613" t="s">
        <v>1809</v>
      </c>
      <c r="L2613" t="str">
        <f>HYPERLINK("https://business-monitor.ch/de/companies/56959-tomexpo-ag?utm_source=oberaargau","PROFIL ANSEHEN")</f>
        <v>PROFIL ANSEHEN</v>
      </c>
    </row>
    <row r="2614" spans="1:12" x14ac:dyDescent="0.2">
      <c r="A2614" t="s">
        <v>444</v>
      </c>
      <c r="B2614" t="s">
        <v>445</v>
      </c>
      <c r="C2614" t="s">
        <v>13</v>
      </c>
      <c r="E2614" t="s">
        <v>446</v>
      </c>
      <c r="F2614">
        <v>4900</v>
      </c>
      <c r="G2614" t="s">
        <v>41</v>
      </c>
      <c r="H2614" t="s">
        <v>16</v>
      </c>
      <c r="I2614" t="s">
        <v>153</v>
      </c>
      <c r="J2614" t="s">
        <v>154</v>
      </c>
      <c r="K2614" t="s">
        <v>1809</v>
      </c>
      <c r="L2614" t="str">
        <f>HYPERLINK("https://business-monitor.ch/de/companies/535555-schnyder-ingenieure-be-ag?utm_source=oberaargau","PROFIL ANSEHEN")</f>
        <v>PROFIL ANSEHEN</v>
      </c>
    </row>
    <row r="2615" spans="1:12" x14ac:dyDescent="0.2">
      <c r="A2615" t="s">
        <v>13773</v>
      </c>
      <c r="B2615" t="s">
        <v>13774</v>
      </c>
      <c r="C2615" t="s">
        <v>202</v>
      </c>
      <c r="E2615" t="s">
        <v>7514</v>
      </c>
      <c r="F2615">
        <v>3362</v>
      </c>
      <c r="G2615" t="s">
        <v>47</v>
      </c>
      <c r="H2615" t="s">
        <v>16</v>
      </c>
      <c r="I2615" t="s">
        <v>935</v>
      </c>
      <c r="J2615" t="s">
        <v>936</v>
      </c>
      <c r="K2615" t="s">
        <v>1809</v>
      </c>
      <c r="L2615" t="str">
        <f>HYPERLINK("https://business-monitor.ch/de/companies/1260269-lilac-immotrading-gmbh?utm_source=oberaargau","PROFIL ANSEHEN")</f>
        <v>PROFIL ANSEHEN</v>
      </c>
    </row>
    <row r="2616" spans="1:12" x14ac:dyDescent="0.2">
      <c r="A2616" t="s">
        <v>11938</v>
      </c>
      <c r="B2616" t="s">
        <v>11939</v>
      </c>
      <c r="C2616" t="s">
        <v>84</v>
      </c>
      <c r="D2616" t="s">
        <v>11940</v>
      </c>
      <c r="E2616" t="s">
        <v>11941</v>
      </c>
      <c r="F2616">
        <v>4914</v>
      </c>
      <c r="G2616" t="s">
        <v>105</v>
      </c>
      <c r="H2616" t="s">
        <v>16</v>
      </c>
      <c r="I2616" t="s">
        <v>157</v>
      </c>
      <c r="J2616" t="s">
        <v>158</v>
      </c>
      <c r="K2616" t="s">
        <v>1809</v>
      </c>
      <c r="L2616" t="str">
        <f>HYPERLINK("https://business-monitor.ch/de/companies/23865-genossenschaft-m-m-am-baerg?utm_source=oberaargau","PROFIL ANSEHEN")</f>
        <v>PROFIL ANSEHEN</v>
      </c>
    </row>
    <row r="2617" spans="1:12" x14ac:dyDescent="0.2">
      <c r="A2617" t="s">
        <v>13536</v>
      </c>
      <c r="B2617" t="s">
        <v>13537</v>
      </c>
      <c r="C2617" t="s">
        <v>202</v>
      </c>
      <c r="E2617" t="s">
        <v>13538</v>
      </c>
      <c r="F2617">
        <v>4938</v>
      </c>
      <c r="G2617" t="s">
        <v>1909</v>
      </c>
      <c r="H2617" t="s">
        <v>16</v>
      </c>
      <c r="I2617" t="s">
        <v>24</v>
      </c>
      <c r="J2617" t="s">
        <v>25</v>
      </c>
      <c r="K2617" t="s">
        <v>1809</v>
      </c>
      <c r="L2617" t="str">
        <f>HYPERLINK("https://business-monitor.ch/de/companies/1261709-4itall-gmbh?utm_source=oberaargau","PROFIL ANSEHEN")</f>
        <v>PROFIL ANSEHEN</v>
      </c>
    </row>
    <row r="2618" spans="1:12" x14ac:dyDescent="0.2">
      <c r="A2618" t="s">
        <v>13761</v>
      </c>
      <c r="B2618" t="s">
        <v>14533</v>
      </c>
      <c r="C2618" t="s">
        <v>202</v>
      </c>
      <c r="D2618" t="s">
        <v>13762</v>
      </c>
      <c r="E2618" t="s">
        <v>10950</v>
      </c>
      <c r="F2618">
        <v>4912</v>
      </c>
      <c r="G2618" t="s">
        <v>64</v>
      </c>
      <c r="H2618" t="s">
        <v>16</v>
      </c>
      <c r="I2618" t="s">
        <v>182</v>
      </c>
      <c r="J2618" t="s">
        <v>183</v>
      </c>
      <c r="K2618" t="s">
        <v>1809</v>
      </c>
      <c r="L2618" t="str">
        <f>HYPERLINK("https://business-monitor.ch/de/companies/1261825-aarekraft-holding-gmbh?utm_source=oberaargau","PROFIL ANSEHEN")</f>
        <v>PROFIL ANSEHEN</v>
      </c>
    </row>
    <row r="2619" spans="1:12" x14ac:dyDescent="0.2">
      <c r="A2619" t="s">
        <v>13778</v>
      </c>
      <c r="B2619" t="s">
        <v>13779</v>
      </c>
      <c r="C2619" t="s">
        <v>1812</v>
      </c>
      <c r="E2619" t="s">
        <v>13780</v>
      </c>
      <c r="F2619">
        <v>4955</v>
      </c>
      <c r="G2619" t="s">
        <v>684</v>
      </c>
      <c r="H2619" t="s">
        <v>16</v>
      </c>
      <c r="I2619" t="s">
        <v>13781</v>
      </c>
      <c r="J2619" t="s">
        <v>13782</v>
      </c>
      <c r="K2619" t="s">
        <v>1809</v>
      </c>
      <c r="L2619" t="str">
        <f>HYPERLINK("https://business-monitor.ch/de/companies/1257594-steinfresh-amrein-zentralschweiz?utm_source=oberaargau","PROFIL ANSEHEN")</f>
        <v>PROFIL ANSEHEN</v>
      </c>
    </row>
    <row r="2620" spans="1:12" x14ac:dyDescent="0.2">
      <c r="A2620" t="s">
        <v>8600</v>
      </c>
      <c r="B2620" t="s">
        <v>8601</v>
      </c>
      <c r="C2620" t="s">
        <v>13</v>
      </c>
      <c r="D2620" t="s">
        <v>8602</v>
      </c>
      <c r="E2620" t="s">
        <v>3375</v>
      </c>
      <c r="F2620">
        <v>4536</v>
      </c>
      <c r="G2620" t="s">
        <v>1395</v>
      </c>
      <c r="H2620" t="s">
        <v>16</v>
      </c>
      <c r="I2620" t="s">
        <v>186</v>
      </c>
      <c r="J2620" t="s">
        <v>187</v>
      </c>
      <c r="K2620" t="s">
        <v>1809</v>
      </c>
      <c r="L2620" t="str">
        <f>HYPERLINK("https://business-monitor.ch/de/companies/465606-hobako-beteiligungen-ag?utm_source=oberaargau","PROFIL ANSEHEN")</f>
        <v>PROFIL ANSEHEN</v>
      </c>
    </row>
    <row r="2621" spans="1:12" x14ac:dyDescent="0.2">
      <c r="A2621" t="s">
        <v>11016</v>
      </c>
      <c r="B2621" t="s">
        <v>11017</v>
      </c>
      <c r="C2621" t="s">
        <v>2258</v>
      </c>
      <c r="E2621" t="s">
        <v>7709</v>
      </c>
      <c r="F2621">
        <v>4917</v>
      </c>
      <c r="G2621" t="s">
        <v>376</v>
      </c>
      <c r="H2621" t="s">
        <v>16</v>
      </c>
      <c r="I2621" t="s">
        <v>366</v>
      </c>
      <c r="J2621" t="s">
        <v>367</v>
      </c>
      <c r="K2621" t="s">
        <v>1809</v>
      </c>
      <c r="L2621" t="str">
        <f>HYPERLINK("https://business-monitor.ch/de/companies/1112154-aellix-wohngemeinschaft?utm_source=oberaargau","PROFIL ANSEHEN")</f>
        <v>PROFIL ANSEHEN</v>
      </c>
    </row>
    <row r="2622" spans="1:12" x14ac:dyDescent="0.2">
      <c r="A2622" t="s">
        <v>2789</v>
      </c>
      <c r="B2622" t="s">
        <v>2790</v>
      </c>
      <c r="C2622" t="s">
        <v>13</v>
      </c>
      <c r="E2622" t="s">
        <v>2791</v>
      </c>
      <c r="F2622">
        <v>3362</v>
      </c>
      <c r="G2622" t="s">
        <v>47</v>
      </c>
      <c r="H2622" t="s">
        <v>16</v>
      </c>
      <c r="I2622" t="s">
        <v>331</v>
      </c>
      <c r="J2622" t="s">
        <v>332</v>
      </c>
      <c r="K2622" t="s">
        <v>1809</v>
      </c>
      <c r="L2622" t="str">
        <f>HYPERLINK("https://business-monitor.ch/de/companies/436666-bruegger-mechanik-ag?utm_source=oberaargau","PROFIL ANSEHEN")</f>
        <v>PROFIL ANSEHEN</v>
      </c>
    </row>
    <row r="2623" spans="1:12" x14ac:dyDescent="0.2">
      <c r="A2623" t="s">
        <v>2079</v>
      </c>
      <c r="B2623" t="s">
        <v>2080</v>
      </c>
      <c r="C2623" t="s">
        <v>1812</v>
      </c>
      <c r="E2623" t="s">
        <v>2081</v>
      </c>
      <c r="F2623">
        <v>4950</v>
      </c>
      <c r="G2623" t="s">
        <v>15</v>
      </c>
      <c r="H2623" t="s">
        <v>16</v>
      </c>
      <c r="I2623" t="s">
        <v>565</v>
      </c>
      <c r="J2623" t="s">
        <v>566</v>
      </c>
      <c r="K2623" t="s">
        <v>1809</v>
      </c>
      <c r="L2623" t="str">
        <f>HYPERLINK("https://business-monitor.ch/de/companies/135275-baeckerei-konditorei-schaer?utm_source=oberaargau","PROFIL ANSEHEN")</f>
        <v>PROFIL ANSEHEN</v>
      </c>
    </row>
    <row r="2624" spans="1:12" x14ac:dyDescent="0.2">
      <c r="A2624" t="s">
        <v>5274</v>
      </c>
      <c r="B2624" t="s">
        <v>5275</v>
      </c>
      <c r="C2624" t="s">
        <v>2178</v>
      </c>
      <c r="E2624" t="s">
        <v>5276</v>
      </c>
      <c r="F2624">
        <v>3362</v>
      </c>
      <c r="G2624" t="s">
        <v>47</v>
      </c>
      <c r="H2624" t="s">
        <v>16</v>
      </c>
      <c r="I2624" t="s">
        <v>134</v>
      </c>
      <c r="J2624" t="s">
        <v>135</v>
      </c>
      <c r="K2624" t="s">
        <v>1809</v>
      </c>
      <c r="L2624" t="str">
        <f>HYPERLINK("https://business-monitor.ch/de/companies/169383-hm-marti-ag-zweigniederlassung-niederoenz?utm_source=oberaargau","PROFIL ANSEHEN")</f>
        <v>PROFIL ANSEHEN</v>
      </c>
    </row>
    <row r="2625" spans="1:12" x14ac:dyDescent="0.2">
      <c r="A2625" t="s">
        <v>10078</v>
      </c>
      <c r="B2625" t="s">
        <v>10079</v>
      </c>
      <c r="C2625" t="s">
        <v>1812</v>
      </c>
      <c r="E2625" t="s">
        <v>241</v>
      </c>
      <c r="F2625">
        <v>4900</v>
      </c>
      <c r="G2625" t="s">
        <v>41</v>
      </c>
      <c r="H2625" t="s">
        <v>16</v>
      </c>
      <c r="I2625" t="s">
        <v>824</v>
      </c>
      <c r="J2625" t="s">
        <v>825</v>
      </c>
      <c r="K2625" t="s">
        <v>1809</v>
      </c>
      <c r="L2625" t="str">
        <f>HYPERLINK("https://business-monitor.ch/de/companies/686028-restaurant-zur-alten-post-m-correia-teixeira-dos-santos?utm_source=oberaargau","PROFIL ANSEHEN")</f>
        <v>PROFIL ANSEHEN</v>
      </c>
    </row>
    <row r="2626" spans="1:12" x14ac:dyDescent="0.2">
      <c r="A2626" t="s">
        <v>13257</v>
      </c>
      <c r="B2626" t="s">
        <v>13258</v>
      </c>
      <c r="C2626" t="s">
        <v>1812</v>
      </c>
      <c r="E2626" t="s">
        <v>7293</v>
      </c>
      <c r="F2626">
        <v>3360</v>
      </c>
      <c r="G2626" t="s">
        <v>35</v>
      </c>
      <c r="H2626" t="s">
        <v>16</v>
      </c>
      <c r="I2626" t="s">
        <v>340</v>
      </c>
      <c r="J2626" t="s">
        <v>341</v>
      </c>
      <c r="K2626" t="s">
        <v>1809</v>
      </c>
      <c r="L2626" t="str">
        <f>HYPERLINK("https://business-monitor.ch/de/companies/1239459-verena-dietrich?utm_source=oberaargau","PROFIL ANSEHEN")</f>
        <v>PROFIL ANSEHEN</v>
      </c>
    </row>
    <row r="2627" spans="1:12" x14ac:dyDescent="0.2">
      <c r="A2627" t="s">
        <v>1780</v>
      </c>
      <c r="B2627" t="s">
        <v>1781</v>
      </c>
      <c r="C2627" t="s">
        <v>13</v>
      </c>
      <c r="E2627" t="s">
        <v>390</v>
      </c>
      <c r="F2627">
        <v>4950</v>
      </c>
      <c r="G2627" t="s">
        <v>15</v>
      </c>
      <c r="H2627" t="s">
        <v>16</v>
      </c>
      <c r="I2627" t="s">
        <v>100</v>
      </c>
      <c r="J2627" t="s">
        <v>101</v>
      </c>
      <c r="K2627" t="s">
        <v>1809</v>
      </c>
      <c r="L2627" t="str">
        <f>HYPERLINK("https://business-monitor.ch/de/companies/43205-ivl-huttwil-ag?utm_source=oberaargau","PROFIL ANSEHEN")</f>
        <v>PROFIL ANSEHEN</v>
      </c>
    </row>
    <row r="2628" spans="1:12" x14ac:dyDescent="0.2">
      <c r="A2628" t="s">
        <v>12570</v>
      </c>
      <c r="B2628" t="s">
        <v>12571</v>
      </c>
      <c r="C2628" t="s">
        <v>202</v>
      </c>
      <c r="E2628" t="s">
        <v>10002</v>
      </c>
      <c r="F2628">
        <v>4900</v>
      </c>
      <c r="G2628" t="s">
        <v>41</v>
      </c>
      <c r="H2628" t="s">
        <v>16</v>
      </c>
      <c r="I2628" t="s">
        <v>1835</v>
      </c>
      <c r="J2628" t="s">
        <v>1836</v>
      </c>
      <c r="K2628" t="s">
        <v>1809</v>
      </c>
      <c r="L2628" t="str">
        <f>HYPERLINK("https://business-monitor.ch/de/companies/1214657-sara-reinigungen-gmbh?utm_source=oberaargau","PROFIL ANSEHEN")</f>
        <v>PROFIL ANSEHEN</v>
      </c>
    </row>
    <row r="2629" spans="1:12" x14ac:dyDescent="0.2">
      <c r="A2629" t="s">
        <v>3445</v>
      </c>
      <c r="B2629" t="s">
        <v>6675</v>
      </c>
      <c r="C2629" t="s">
        <v>13</v>
      </c>
      <c r="E2629" t="s">
        <v>4827</v>
      </c>
      <c r="F2629">
        <v>3360</v>
      </c>
      <c r="G2629" t="s">
        <v>35</v>
      </c>
      <c r="H2629" t="s">
        <v>16</v>
      </c>
      <c r="I2629" t="s">
        <v>77</v>
      </c>
      <c r="J2629" t="s">
        <v>78</v>
      </c>
      <c r="K2629" t="s">
        <v>1809</v>
      </c>
      <c r="L2629" t="str">
        <f>HYPERLINK("https://business-monitor.ch/de/companies/173513-e-schaer-ag?utm_source=oberaargau","PROFIL ANSEHEN")</f>
        <v>PROFIL ANSEHEN</v>
      </c>
    </row>
    <row r="2630" spans="1:12" x14ac:dyDescent="0.2">
      <c r="A2630" t="s">
        <v>9958</v>
      </c>
      <c r="B2630" t="s">
        <v>9959</v>
      </c>
      <c r="C2630" t="s">
        <v>1812</v>
      </c>
      <c r="E2630" t="s">
        <v>9960</v>
      </c>
      <c r="F2630">
        <v>3373</v>
      </c>
      <c r="G2630" t="s">
        <v>2697</v>
      </c>
      <c r="H2630" t="s">
        <v>16</v>
      </c>
      <c r="I2630" t="s">
        <v>824</v>
      </c>
      <c r="J2630" t="s">
        <v>825</v>
      </c>
      <c r="K2630" t="s">
        <v>1809</v>
      </c>
      <c r="L2630" t="str">
        <f>HYPERLINK("https://business-monitor.ch/de/companies/939353-lenti-street-kitchen?utm_source=oberaargau","PROFIL ANSEHEN")</f>
        <v>PROFIL ANSEHEN</v>
      </c>
    </row>
    <row r="2631" spans="1:12" x14ac:dyDescent="0.2">
      <c r="A2631" t="s">
        <v>3445</v>
      </c>
      <c r="B2631" t="s">
        <v>3446</v>
      </c>
      <c r="C2631" t="s">
        <v>13</v>
      </c>
      <c r="E2631" t="s">
        <v>3447</v>
      </c>
      <c r="F2631">
        <v>3362</v>
      </c>
      <c r="G2631" t="s">
        <v>47</v>
      </c>
      <c r="H2631" t="s">
        <v>16</v>
      </c>
      <c r="I2631" t="s">
        <v>748</v>
      </c>
      <c r="J2631" t="s">
        <v>749</v>
      </c>
      <c r="K2631" t="s">
        <v>1809</v>
      </c>
      <c r="L2631" t="str">
        <f>HYPERLINK("https://business-monitor.ch/de/companies/173987-franz-ingold-ag?utm_source=oberaargau","PROFIL ANSEHEN")</f>
        <v>PROFIL ANSEHEN</v>
      </c>
    </row>
    <row r="2632" spans="1:12" x14ac:dyDescent="0.2">
      <c r="A2632" t="s">
        <v>6870</v>
      </c>
      <c r="B2632" t="s">
        <v>6871</v>
      </c>
      <c r="C2632" t="s">
        <v>202</v>
      </c>
      <c r="D2632" t="s">
        <v>6872</v>
      </c>
      <c r="E2632" t="s">
        <v>6873</v>
      </c>
      <c r="F2632">
        <v>4537</v>
      </c>
      <c r="G2632" t="s">
        <v>113</v>
      </c>
      <c r="H2632" t="s">
        <v>16</v>
      </c>
      <c r="I2632" t="s">
        <v>6874</v>
      </c>
      <c r="J2632" t="s">
        <v>6875</v>
      </c>
      <c r="K2632" t="s">
        <v>1809</v>
      </c>
      <c r="L2632" t="str">
        <f>HYPERLINK("https://business-monitor.ch/de/companies/23684-jk-handel-gmbh?utm_source=oberaargau","PROFIL ANSEHEN")</f>
        <v>PROFIL ANSEHEN</v>
      </c>
    </row>
    <row r="2633" spans="1:12" x14ac:dyDescent="0.2">
      <c r="A2633" t="s">
        <v>12317</v>
      </c>
      <c r="B2633" t="s">
        <v>12318</v>
      </c>
      <c r="C2633" t="s">
        <v>1812</v>
      </c>
      <c r="E2633" t="s">
        <v>12319</v>
      </c>
      <c r="F2633">
        <v>4934</v>
      </c>
      <c r="G2633" t="s">
        <v>670</v>
      </c>
      <c r="H2633" t="s">
        <v>16</v>
      </c>
      <c r="I2633" t="s">
        <v>1296</v>
      </c>
      <c r="J2633" t="s">
        <v>1297</v>
      </c>
      <c r="K2633" t="s">
        <v>1809</v>
      </c>
      <c r="L2633" t="str">
        <f>HYPERLINK("https://business-monitor.ch/de/companies/1197710-agency-sritharan?utm_source=oberaargau","PROFIL ANSEHEN")</f>
        <v>PROFIL ANSEHEN</v>
      </c>
    </row>
    <row r="2634" spans="1:12" x14ac:dyDescent="0.2">
      <c r="A2634" t="s">
        <v>10745</v>
      </c>
      <c r="B2634" t="s">
        <v>10746</v>
      </c>
      <c r="C2634" t="s">
        <v>1812</v>
      </c>
      <c r="E2634" t="s">
        <v>10747</v>
      </c>
      <c r="F2634">
        <v>4900</v>
      </c>
      <c r="G2634" t="s">
        <v>41</v>
      </c>
      <c r="H2634" t="s">
        <v>16</v>
      </c>
      <c r="I2634" t="s">
        <v>1097</v>
      </c>
      <c r="J2634" t="s">
        <v>1098</v>
      </c>
      <c r="K2634" t="s">
        <v>1809</v>
      </c>
      <c r="L2634" t="str">
        <f>HYPERLINK("https://business-monitor.ch/de/companies/1098143-e-rama?utm_source=oberaargau","PROFIL ANSEHEN")</f>
        <v>PROFIL ANSEHEN</v>
      </c>
    </row>
    <row r="2635" spans="1:12" x14ac:dyDescent="0.2">
      <c r="A2635" t="s">
        <v>10564</v>
      </c>
      <c r="B2635" t="s">
        <v>10565</v>
      </c>
      <c r="C2635" t="s">
        <v>202</v>
      </c>
      <c r="E2635" t="s">
        <v>10566</v>
      </c>
      <c r="F2635">
        <v>4932</v>
      </c>
      <c r="G2635" t="s">
        <v>2036</v>
      </c>
      <c r="H2635" t="s">
        <v>16</v>
      </c>
      <c r="I2635" t="s">
        <v>10567</v>
      </c>
      <c r="J2635" t="s">
        <v>10568</v>
      </c>
      <c r="K2635" t="s">
        <v>1809</v>
      </c>
      <c r="L2635" t="str">
        <f>HYPERLINK("https://business-monitor.ch/de/companies/317835-arum-gmbh?utm_source=oberaargau","PROFIL ANSEHEN")</f>
        <v>PROFIL ANSEHEN</v>
      </c>
    </row>
    <row r="2636" spans="1:12" x14ac:dyDescent="0.2">
      <c r="A2636" t="s">
        <v>7439</v>
      </c>
      <c r="B2636" t="s">
        <v>7440</v>
      </c>
      <c r="C2636" t="s">
        <v>202</v>
      </c>
      <c r="E2636" t="s">
        <v>7441</v>
      </c>
      <c r="F2636">
        <v>4900</v>
      </c>
      <c r="G2636" t="s">
        <v>41</v>
      </c>
      <c r="H2636" t="s">
        <v>16</v>
      </c>
      <c r="I2636" t="s">
        <v>1535</v>
      </c>
      <c r="J2636" t="s">
        <v>1536</v>
      </c>
      <c r="K2636" t="s">
        <v>1809</v>
      </c>
      <c r="L2636" t="str">
        <f>HYPERLINK("https://business-monitor.ch/de/companies/943322-handwerk-natur-gmbh?utm_source=oberaargau","PROFIL ANSEHEN")</f>
        <v>PROFIL ANSEHEN</v>
      </c>
    </row>
    <row r="2637" spans="1:12" x14ac:dyDescent="0.2">
      <c r="A2637" t="s">
        <v>2111</v>
      </c>
      <c r="B2637" t="s">
        <v>2112</v>
      </c>
      <c r="C2637" t="s">
        <v>1812</v>
      </c>
      <c r="E2637" t="s">
        <v>1108</v>
      </c>
      <c r="F2637">
        <v>4538</v>
      </c>
      <c r="G2637" t="s">
        <v>71</v>
      </c>
      <c r="H2637" t="s">
        <v>16</v>
      </c>
      <c r="I2637" t="s">
        <v>662</v>
      </c>
      <c r="J2637" t="s">
        <v>663</v>
      </c>
      <c r="K2637" t="s">
        <v>1809</v>
      </c>
      <c r="L2637" t="str">
        <f>HYPERLINK("https://business-monitor.ch/de/companies/52222-bedachungen-maurhofer-niklaus?utm_source=oberaargau","PROFIL ANSEHEN")</f>
        <v>PROFIL ANSEHEN</v>
      </c>
    </row>
    <row r="2638" spans="1:12" x14ac:dyDescent="0.2">
      <c r="A2638" t="s">
        <v>2021</v>
      </c>
      <c r="B2638" t="s">
        <v>2022</v>
      </c>
      <c r="C2638" t="s">
        <v>1812</v>
      </c>
      <c r="E2638" t="s">
        <v>2023</v>
      </c>
      <c r="F2638">
        <v>4950</v>
      </c>
      <c r="G2638" t="s">
        <v>15</v>
      </c>
      <c r="H2638" t="s">
        <v>16</v>
      </c>
      <c r="I2638" t="s">
        <v>260</v>
      </c>
      <c r="J2638" t="s">
        <v>261</v>
      </c>
      <c r="K2638" t="s">
        <v>1809</v>
      </c>
      <c r="L2638" t="str">
        <f>HYPERLINK("https://business-monitor.ch/de/companies/178482-niklaus-stuker?utm_source=oberaargau","PROFIL ANSEHEN")</f>
        <v>PROFIL ANSEHEN</v>
      </c>
    </row>
    <row r="2639" spans="1:12" x14ac:dyDescent="0.2">
      <c r="A2639" t="s">
        <v>6965</v>
      </c>
      <c r="B2639" t="s">
        <v>6966</v>
      </c>
      <c r="C2639" t="s">
        <v>1408</v>
      </c>
      <c r="E2639" t="s">
        <v>6947</v>
      </c>
      <c r="F2639">
        <v>4704</v>
      </c>
      <c r="G2639" t="s">
        <v>221</v>
      </c>
      <c r="H2639" t="s">
        <v>16</v>
      </c>
      <c r="I2639" t="s">
        <v>2640</v>
      </c>
      <c r="J2639" t="s">
        <v>2641</v>
      </c>
      <c r="K2639" t="s">
        <v>1809</v>
      </c>
      <c r="L2639" t="str">
        <f>HYPERLINK("https://business-monitor.ch/de/companies/662068-allinone-solutions-gmbh?utm_source=oberaargau","PROFIL ANSEHEN")</f>
        <v>PROFIL ANSEHEN</v>
      </c>
    </row>
    <row r="2640" spans="1:12" x14ac:dyDescent="0.2">
      <c r="A2640" t="s">
        <v>10554</v>
      </c>
      <c r="B2640" t="s">
        <v>10555</v>
      </c>
      <c r="C2640" t="s">
        <v>1922</v>
      </c>
      <c r="E2640" t="s">
        <v>10556</v>
      </c>
      <c r="F2640">
        <v>4950</v>
      </c>
      <c r="G2640" t="s">
        <v>15</v>
      </c>
      <c r="H2640" t="s">
        <v>16</v>
      </c>
      <c r="I2640" t="s">
        <v>366</v>
      </c>
      <c r="J2640" t="s">
        <v>367</v>
      </c>
      <c r="K2640" t="s">
        <v>1809</v>
      </c>
      <c r="L2640" t="str">
        <f>HYPERLINK("https://business-monitor.ch/de/companies/60894-stiftung-sonnegg-huttwil?utm_source=oberaargau","PROFIL ANSEHEN")</f>
        <v>PROFIL ANSEHEN</v>
      </c>
    </row>
    <row r="2641" spans="1:12" x14ac:dyDescent="0.2">
      <c r="A2641" t="s">
        <v>10112</v>
      </c>
      <c r="B2641" t="s">
        <v>10113</v>
      </c>
      <c r="C2641" t="s">
        <v>13</v>
      </c>
      <c r="D2641" t="s">
        <v>13394</v>
      </c>
      <c r="E2641" t="s">
        <v>13395</v>
      </c>
      <c r="F2641">
        <v>4538</v>
      </c>
      <c r="G2641" t="s">
        <v>71</v>
      </c>
      <c r="H2641" t="s">
        <v>16</v>
      </c>
      <c r="I2641" t="s">
        <v>186</v>
      </c>
      <c r="J2641" t="s">
        <v>187</v>
      </c>
      <c r="K2641" t="s">
        <v>1809</v>
      </c>
      <c r="L2641" t="str">
        <f>HYPERLINK("https://business-monitor.ch/de/companies/668818-daho-ag?utm_source=oberaargau","PROFIL ANSEHEN")</f>
        <v>PROFIL ANSEHEN</v>
      </c>
    </row>
    <row r="2642" spans="1:12" x14ac:dyDescent="0.2">
      <c r="A2642" t="s">
        <v>13484</v>
      </c>
      <c r="B2642" t="s">
        <v>13485</v>
      </c>
      <c r="C2642" t="s">
        <v>202</v>
      </c>
      <c r="E2642" t="s">
        <v>8455</v>
      </c>
      <c r="F2642">
        <v>3360</v>
      </c>
      <c r="G2642" t="s">
        <v>35</v>
      </c>
      <c r="H2642" t="s">
        <v>16</v>
      </c>
      <c r="I2642" t="s">
        <v>331</v>
      </c>
      <c r="J2642" t="s">
        <v>332</v>
      </c>
      <c r="K2642" t="s">
        <v>1809</v>
      </c>
      <c r="L2642" t="str">
        <f>HYPERLINK("https://business-monitor.ch/de/companies/1245815-tomeco-gmbh?utm_source=oberaargau","PROFIL ANSEHEN")</f>
        <v>PROFIL ANSEHEN</v>
      </c>
    </row>
    <row r="2643" spans="1:12" x14ac:dyDescent="0.2">
      <c r="A2643" t="s">
        <v>12926</v>
      </c>
      <c r="B2643" t="s">
        <v>12927</v>
      </c>
      <c r="C2643" t="s">
        <v>1812</v>
      </c>
      <c r="E2643" t="s">
        <v>12928</v>
      </c>
      <c r="F2643">
        <v>4914</v>
      </c>
      <c r="G2643" t="s">
        <v>105</v>
      </c>
      <c r="H2643" t="s">
        <v>16</v>
      </c>
      <c r="I2643" t="s">
        <v>144</v>
      </c>
      <c r="J2643" t="s">
        <v>145</v>
      </c>
      <c r="K2643" t="s">
        <v>1809</v>
      </c>
      <c r="L2643" t="str">
        <f>HYPERLINK("https://business-monitor.ch/de/companies/1063527-cookooning-by-uwe-stockinger?utm_source=oberaargau","PROFIL ANSEHEN")</f>
        <v>PROFIL ANSEHEN</v>
      </c>
    </row>
    <row r="2644" spans="1:12" x14ac:dyDescent="0.2">
      <c r="A2644" t="s">
        <v>11519</v>
      </c>
      <c r="B2644" t="s">
        <v>11520</v>
      </c>
      <c r="C2644" t="s">
        <v>1812</v>
      </c>
      <c r="E2644" t="s">
        <v>11521</v>
      </c>
      <c r="F2644">
        <v>3373</v>
      </c>
      <c r="G2644" t="s">
        <v>2429</v>
      </c>
      <c r="H2644" t="s">
        <v>16</v>
      </c>
      <c r="I2644" t="s">
        <v>2825</v>
      </c>
      <c r="J2644" t="s">
        <v>2826</v>
      </c>
      <c r="K2644" t="s">
        <v>1809</v>
      </c>
      <c r="L2644" t="str">
        <f>HYPERLINK("https://business-monitor.ch/de/companies/423428-hofer-schriften-grafik-nachfolger-michael-herzig?utm_source=oberaargau","PROFIL ANSEHEN")</f>
        <v>PROFIL ANSEHEN</v>
      </c>
    </row>
    <row r="2645" spans="1:12" x14ac:dyDescent="0.2">
      <c r="A2645" t="s">
        <v>14085</v>
      </c>
      <c r="B2645" t="s">
        <v>14086</v>
      </c>
      <c r="C2645" t="s">
        <v>202</v>
      </c>
      <c r="D2645" t="s">
        <v>13586</v>
      </c>
      <c r="E2645" t="s">
        <v>258</v>
      </c>
      <c r="F2645">
        <v>3360</v>
      </c>
      <c r="G2645" t="s">
        <v>35</v>
      </c>
      <c r="H2645" t="s">
        <v>16</v>
      </c>
      <c r="I2645" t="s">
        <v>1865</v>
      </c>
      <c r="J2645" t="s">
        <v>1866</v>
      </c>
      <c r="K2645" t="s">
        <v>1809</v>
      </c>
      <c r="L2645" t="str">
        <f>HYPERLINK("https://business-monitor.ch/de/companies/1276438-ims-facility-management-gmbh?utm_source=oberaargau","PROFIL ANSEHEN")</f>
        <v>PROFIL ANSEHEN</v>
      </c>
    </row>
    <row r="2646" spans="1:12" x14ac:dyDescent="0.2">
      <c r="A2646" t="s">
        <v>10963</v>
      </c>
      <c r="B2646" t="s">
        <v>10964</v>
      </c>
      <c r="C2646" t="s">
        <v>13</v>
      </c>
      <c r="E2646" t="s">
        <v>1025</v>
      </c>
      <c r="F2646">
        <v>4900</v>
      </c>
      <c r="G2646" t="s">
        <v>41</v>
      </c>
      <c r="H2646" t="s">
        <v>16</v>
      </c>
      <c r="I2646" t="s">
        <v>182</v>
      </c>
      <c r="J2646" t="s">
        <v>183</v>
      </c>
      <c r="K2646" t="s">
        <v>1809</v>
      </c>
      <c r="L2646" t="str">
        <f>HYPERLINK("https://business-monitor.ch/de/companies/1102789-marema-holding-ag?utm_source=oberaargau","PROFIL ANSEHEN")</f>
        <v>PROFIL ANSEHEN</v>
      </c>
    </row>
    <row r="2647" spans="1:12" x14ac:dyDescent="0.2">
      <c r="A2647" t="s">
        <v>8198</v>
      </c>
      <c r="B2647" t="s">
        <v>8199</v>
      </c>
      <c r="C2647" t="s">
        <v>1812</v>
      </c>
      <c r="E2647" t="s">
        <v>8200</v>
      </c>
      <c r="F2647">
        <v>4913</v>
      </c>
      <c r="G2647" t="s">
        <v>207</v>
      </c>
      <c r="H2647" t="s">
        <v>16</v>
      </c>
      <c r="I2647" t="s">
        <v>1889</v>
      </c>
      <c r="J2647" t="s">
        <v>1890</v>
      </c>
      <c r="K2647" t="s">
        <v>1809</v>
      </c>
      <c r="L2647" t="str">
        <f>HYPERLINK("https://business-monitor.ch/de/companies/156927-stephan-moser-kurier-und-kleintransporte?utm_source=oberaargau","PROFIL ANSEHEN")</f>
        <v>PROFIL ANSEHEN</v>
      </c>
    </row>
    <row r="2648" spans="1:12" x14ac:dyDescent="0.2">
      <c r="A2648" t="s">
        <v>14083</v>
      </c>
      <c r="B2648" t="s">
        <v>14084</v>
      </c>
      <c r="C2648" t="s">
        <v>202</v>
      </c>
      <c r="E2648" t="s">
        <v>4304</v>
      </c>
      <c r="F2648">
        <v>4900</v>
      </c>
      <c r="G2648" t="s">
        <v>41</v>
      </c>
      <c r="H2648" t="s">
        <v>16</v>
      </c>
      <c r="I2648" t="s">
        <v>72</v>
      </c>
      <c r="J2648" t="s">
        <v>73</v>
      </c>
      <c r="K2648" t="s">
        <v>1809</v>
      </c>
      <c r="L2648" t="str">
        <f>HYPERLINK("https://business-monitor.ch/de/companies/1269566-lacantina-pizzeria-gmbh?utm_source=oberaargau","PROFIL ANSEHEN")</f>
        <v>PROFIL ANSEHEN</v>
      </c>
    </row>
    <row r="2649" spans="1:12" x14ac:dyDescent="0.2">
      <c r="A2649" t="s">
        <v>8534</v>
      </c>
      <c r="B2649" t="s">
        <v>8535</v>
      </c>
      <c r="C2649" t="s">
        <v>13</v>
      </c>
      <c r="E2649" t="s">
        <v>3480</v>
      </c>
      <c r="F2649">
        <v>4900</v>
      </c>
      <c r="G2649" t="s">
        <v>41</v>
      </c>
      <c r="H2649" t="s">
        <v>16</v>
      </c>
      <c r="I2649" t="s">
        <v>2962</v>
      </c>
      <c r="J2649" t="s">
        <v>2963</v>
      </c>
      <c r="K2649" t="s">
        <v>1809</v>
      </c>
      <c r="L2649" t="str">
        <f>HYPERLINK("https://business-monitor.ch/de/companies/219596-microbact-ag?utm_source=oberaargau","PROFIL ANSEHEN")</f>
        <v>PROFIL ANSEHEN</v>
      </c>
    </row>
    <row r="2650" spans="1:12" x14ac:dyDescent="0.2">
      <c r="A2650" t="s">
        <v>7888</v>
      </c>
      <c r="B2650" t="s">
        <v>7889</v>
      </c>
      <c r="C2650" t="s">
        <v>1812</v>
      </c>
      <c r="E2650" t="s">
        <v>4811</v>
      </c>
      <c r="F2650">
        <v>4900</v>
      </c>
      <c r="G2650" t="s">
        <v>41</v>
      </c>
      <c r="H2650" t="s">
        <v>16</v>
      </c>
      <c r="I2650" t="s">
        <v>1296</v>
      </c>
      <c r="J2650" t="s">
        <v>1297</v>
      </c>
      <c r="K2650" t="s">
        <v>1809</v>
      </c>
      <c r="L2650" t="str">
        <f>HYPERLINK("https://business-monitor.ch/de/companies/1090651-adpunctum-sabine-muehlethaler?utm_source=oberaargau","PROFIL ANSEHEN")</f>
        <v>PROFIL ANSEHEN</v>
      </c>
    </row>
    <row r="2651" spans="1:12" x14ac:dyDescent="0.2">
      <c r="A2651" t="s">
        <v>11310</v>
      </c>
      <c r="B2651" t="s">
        <v>11311</v>
      </c>
      <c r="C2651" t="s">
        <v>202</v>
      </c>
      <c r="E2651" t="s">
        <v>11525</v>
      </c>
      <c r="F2651">
        <v>4922</v>
      </c>
      <c r="G2651" t="s">
        <v>1318</v>
      </c>
      <c r="H2651" t="s">
        <v>16</v>
      </c>
      <c r="I2651" t="s">
        <v>153</v>
      </c>
      <c r="J2651" t="s">
        <v>154</v>
      </c>
      <c r="K2651" t="s">
        <v>1809</v>
      </c>
      <c r="L2651" t="str">
        <f>HYPERLINK("https://business-monitor.ch/de/companies/1125979-swiss-lift-solution-gmbh?utm_source=oberaargau","PROFIL ANSEHEN")</f>
        <v>PROFIL ANSEHEN</v>
      </c>
    </row>
    <row r="2652" spans="1:12" x14ac:dyDescent="0.2">
      <c r="A2652" t="s">
        <v>11646</v>
      </c>
      <c r="B2652" t="s">
        <v>11647</v>
      </c>
      <c r="C2652" t="s">
        <v>202</v>
      </c>
      <c r="D2652" t="s">
        <v>11648</v>
      </c>
      <c r="E2652" t="s">
        <v>9493</v>
      </c>
      <c r="F2652">
        <v>4912</v>
      </c>
      <c r="G2652" t="s">
        <v>64</v>
      </c>
      <c r="H2652" t="s">
        <v>16</v>
      </c>
      <c r="I2652" t="s">
        <v>134</v>
      </c>
      <c r="J2652" t="s">
        <v>135</v>
      </c>
      <c r="K2652" t="s">
        <v>1809</v>
      </c>
      <c r="L2652" t="str">
        <f>HYPERLINK("https://business-monitor.ch/de/companies/954933-wm-solution-gmbh?utm_source=oberaargau","PROFIL ANSEHEN")</f>
        <v>PROFIL ANSEHEN</v>
      </c>
    </row>
    <row r="2653" spans="1:12" x14ac:dyDescent="0.2">
      <c r="A2653" t="s">
        <v>4671</v>
      </c>
      <c r="B2653" t="s">
        <v>4672</v>
      </c>
      <c r="C2653" t="s">
        <v>13</v>
      </c>
      <c r="D2653" t="s">
        <v>4673</v>
      </c>
      <c r="E2653" t="s">
        <v>1090</v>
      </c>
      <c r="F2653">
        <v>4954</v>
      </c>
      <c r="G2653" t="s">
        <v>359</v>
      </c>
      <c r="H2653" t="s">
        <v>16</v>
      </c>
      <c r="I2653" t="s">
        <v>186</v>
      </c>
      <c r="J2653" t="s">
        <v>187</v>
      </c>
      <c r="K2653" t="s">
        <v>1809</v>
      </c>
      <c r="L2653" t="str">
        <f>HYPERLINK("https://business-monitor.ch/de/companies/613889-tta-holding-ag?utm_source=oberaargau","PROFIL ANSEHEN")</f>
        <v>PROFIL ANSEHEN</v>
      </c>
    </row>
    <row r="2654" spans="1:12" x14ac:dyDescent="0.2">
      <c r="A2654" t="s">
        <v>7696</v>
      </c>
      <c r="B2654" t="s">
        <v>7697</v>
      </c>
      <c r="C2654" t="s">
        <v>202</v>
      </c>
      <c r="E2654" t="s">
        <v>7698</v>
      </c>
      <c r="F2654">
        <v>4537</v>
      </c>
      <c r="G2654" t="s">
        <v>113</v>
      </c>
      <c r="H2654" t="s">
        <v>16</v>
      </c>
      <c r="I2654" t="s">
        <v>1535</v>
      </c>
      <c r="J2654" t="s">
        <v>1536</v>
      </c>
      <c r="K2654" t="s">
        <v>1809</v>
      </c>
      <c r="L2654" t="str">
        <f>HYPERLINK("https://business-monitor.ch/de/companies/614418-brudermann-s-gaerten-gmbh?utm_source=oberaargau","PROFIL ANSEHEN")</f>
        <v>PROFIL ANSEHEN</v>
      </c>
    </row>
    <row r="2655" spans="1:12" x14ac:dyDescent="0.2">
      <c r="A2655" t="s">
        <v>13659</v>
      </c>
      <c r="B2655" t="s">
        <v>13660</v>
      </c>
      <c r="C2655" t="s">
        <v>1812</v>
      </c>
      <c r="E2655" t="s">
        <v>13661</v>
      </c>
      <c r="F2655">
        <v>4900</v>
      </c>
      <c r="G2655" t="s">
        <v>41</v>
      </c>
      <c r="H2655" t="s">
        <v>16</v>
      </c>
      <c r="I2655" t="s">
        <v>3982</v>
      </c>
      <c r="J2655" t="s">
        <v>3983</v>
      </c>
      <c r="K2655" t="s">
        <v>1809</v>
      </c>
      <c r="L2655" t="str">
        <f>HYPERLINK("https://business-monitor.ch/de/companies/1268525-kaya-art-of-living?utm_source=oberaargau","PROFIL ANSEHEN")</f>
        <v>PROFIL ANSEHEN</v>
      </c>
    </row>
    <row r="2656" spans="1:12" x14ac:dyDescent="0.2">
      <c r="A2656" t="s">
        <v>8640</v>
      </c>
      <c r="B2656" t="s">
        <v>8641</v>
      </c>
      <c r="C2656" t="s">
        <v>1922</v>
      </c>
      <c r="D2656" t="s">
        <v>8642</v>
      </c>
      <c r="E2656" t="s">
        <v>8643</v>
      </c>
      <c r="F2656">
        <v>3360</v>
      </c>
      <c r="G2656" t="s">
        <v>35</v>
      </c>
      <c r="H2656" t="s">
        <v>16</v>
      </c>
      <c r="I2656" t="s">
        <v>1924</v>
      </c>
      <c r="J2656" t="s">
        <v>1925</v>
      </c>
      <c r="K2656" t="s">
        <v>1809</v>
      </c>
      <c r="L2656" t="str">
        <f>HYPERLINK("https://business-monitor.ch/de/companies/427526-stiftung-altmaennervereinigung-herzogenbuchsee-und-umgebung?utm_source=oberaargau","PROFIL ANSEHEN")</f>
        <v>PROFIL ANSEHEN</v>
      </c>
    </row>
    <row r="2657" spans="1:12" x14ac:dyDescent="0.2">
      <c r="A2657" t="s">
        <v>14534</v>
      </c>
      <c r="B2657" t="s">
        <v>14535</v>
      </c>
      <c r="C2657" t="s">
        <v>1812</v>
      </c>
      <c r="D2657" t="s">
        <v>14536</v>
      </c>
      <c r="E2657" t="s">
        <v>14537</v>
      </c>
      <c r="F2657">
        <v>4914</v>
      </c>
      <c r="G2657" t="s">
        <v>105</v>
      </c>
      <c r="H2657" t="s">
        <v>16</v>
      </c>
      <c r="I2657" t="s">
        <v>662</v>
      </c>
      <c r="J2657" t="s">
        <v>663</v>
      </c>
      <c r="K2657" t="s">
        <v>1809</v>
      </c>
      <c r="L2657" t="str">
        <f>HYPERLINK("https://business-monitor.ch/de/companies/1299960-klin-bedachungen?utm_source=oberaargau","PROFIL ANSEHEN")</f>
        <v>PROFIL ANSEHEN</v>
      </c>
    </row>
    <row r="2658" spans="1:12" x14ac:dyDescent="0.2">
      <c r="A2658" t="s">
        <v>13679</v>
      </c>
      <c r="B2658" t="s">
        <v>13680</v>
      </c>
      <c r="C2658" t="s">
        <v>1812</v>
      </c>
      <c r="E2658" t="s">
        <v>13681</v>
      </c>
      <c r="F2658">
        <v>4704</v>
      </c>
      <c r="G2658" t="s">
        <v>221</v>
      </c>
      <c r="H2658" t="s">
        <v>16</v>
      </c>
      <c r="I2658" t="s">
        <v>2067</v>
      </c>
      <c r="J2658" t="s">
        <v>2068</v>
      </c>
      <c r="K2658" t="s">
        <v>1809</v>
      </c>
      <c r="L2658" t="str">
        <f>HYPERLINK("https://business-monitor.ch/de/companies/684335-rolf-gutknecht-bau-ch?utm_source=oberaargau","PROFIL ANSEHEN")</f>
        <v>PROFIL ANSEHEN</v>
      </c>
    </row>
    <row r="2659" spans="1:12" x14ac:dyDescent="0.2">
      <c r="A2659" t="s">
        <v>10581</v>
      </c>
      <c r="B2659" t="s">
        <v>10582</v>
      </c>
      <c r="C2659" t="s">
        <v>1812</v>
      </c>
      <c r="E2659" t="s">
        <v>10583</v>
      </c>
      <c r="F2659">
        <v>3360</v>
      </c>
      <c r="G2659" t="s">
        <v>35</v>
      </c>
      <c r="H2659" t="s">
        <v>16</v>
      </c>
      <c r="I2659" t="s">
        <v>1993</v>
      </c>
      <c r="J2659" t="s">
        <v>1994</v>
      </c>
      <c r="K2659" t="s">
        <v>1809</v>
      </c>
      <c r="L2659" t="str">
        <f>HYPERLINK("https://business-monitor.ch/de/companies/1075796-simmply-pietro-bisanti?utm_source=oberaargau","PROFIL ANSEHEN")</f>
        <v>PROFIL ANSEHEN</v>
      </c>
    </row>
    <row r="2660" spans="1:12" x14ac:dyDescent="0.2">
      <c r="A2660" t="s">
        <v>2710</v>
      </c>
      <c r="B2660" t="s">
        <v>2711</v>
      </c>
      <c r="C2660" t="s">
        <v>1812</v>
      </c>
      <c r="E2660" t="s">
        <v>2712</v>
      </c>
      <c r="F2660">
        <v>4538</v>
      </c>
      <c r="G2660" t="s">
        <v>71</v>
      </c>
      <c r="H2660" t="s">
        <v>16</v>
      </c>
      <c r="I2660" t="s">
        <v>232</v>
      </c>
      <c r="J2660" t="s">
        <v>233</v>
      </c>
      <c r="K2660" t="s">
        <v>1809</v>
      </c>
      <c r="L2660" t="str">
        <f>HYPERLINK("https://business-monitor.ch/de/companies/464907-werthmueller-finanzplanung?utm_source=oberaargau","PROFIL ANSEHEN")</f>
        <v>PROFIL ANSEHEN</v>
      </c>
    </row>
    <row r="2661" spans="1:12" x14ac:dyDescent="0.2">
      <c r="A2661" t="s">
        <v>10454</v>
      </c>
      <c r="B2661" t="s">
        <v>10455</v>
      </c>
      <c r="C2661" t="s">
        <v>1812</v>
      </c>
      <c r="E2661" t="s">
        <v>10456</v>
      </c>
      <c r="F2661">
        <v>4900</v>
      </c>
      <c r="G2661" t="s">
        <v>41</v>
      </c>
      <c r="H2661" t="s">
        <v>16</v>
      </c>
      <c r="I2661" t="s">
        <v>1981</v>
      </c>
      <c r="J2661" t="s">
        <v>1982</v>
      </c>
      <c r="K2661" t="s">
        <v>1809</v>
      </c>
      <c r="L2661" t="str">
        <f>HYPERLINK("https://business-monitor.ch/de/companies/72171-haeny?utm_source=oberaargau","PROFIL ANSEHEN")</f>
        <v>PROFIL ANSEHEN</v>
      </c>
    </row>
    <row r="2662" spans="1:12" x14ac:dyDescent="0.2">
      <c r="A2662" t="s">
        <v>2802</v>
      </c>
      <c r="B2662" t="s">
        <v>2803</v>
      </c>
      <c r="C2662" t="s">
        <v>13</v>
      </c>
      <c r="E2662" t="s">
        <v>2804</v>
      </c>
      <c r="F2662">
        <v>3362</v>
      </c>
      <c r="G2662" t="s">
        <v>47</v>
      </c>
      <c r="H2662" t="s">
        <v>16</v>
      </c>
      <c r="I2662" t="s">
        <v>331</v>
      </c>
      <c r="J2662" t="s">
        <v>332</v>
      </c>
      <c r="K2662" t="s">
        <v>1809</v>
      </c>
      <c r="L2662" t="str">
        <f>HYPERLINK("https://business-monitor.ch/de/companies/432033-friedli-metalltechnik-ag?utm_source=oberaargau","PROFIL ANSEHEN")</f>
        <v>PROFIL ANSEHEN</v>
      </c>
    </row>
    <row r="2663" spans="1:12" x14ac:dyDescent="0.2">
      <c r="A2663" t="s">
        <v>14538</v>
      </c>
      <c r="B2663" t="s">
        <v>14539</v>
      </c>
      <c r="C2663" t="s">
        <v>13</v>
      </c>
      <c r="E2663" t="s">
        <v>3260</v>
      </c>
      <c r="F2663">
        <v>4900</v>
      </c>
      <c r="G2663" t="s">
        <v>41</v>
      </c>
      <c r="H2663" t="s">
        <v>16</v>
      </c>
      <c r="I2663" t="s">
        <v>4247</v>
      </c>
      <c r="J2663" t="s">
        <v>4248</v>
      </c>
      <c r="K2663" t="s">
        <v>1809</v>
      </c>
      <c r="L2663" t="str">
        <f>HYPERLINK("https://business-monitor.ch/de/companies/1296505-frauenzentrum-oberaargau-ag?utm_source=oberaargau","PROFIL ANSEHEN")</f>
        <v>PROFIL ANSEHEN</v>
      </c>
    </row>
    <row r="2664" spans="1:12" x14ac:dyDescent="0.2">
      <c r="A2664" t="s">
        <v>12949</v>
      </c>
      <c r="B2664" t="s">
        <v>12950</v>
      </c>
      <c r="C2664" t="s">
        <v>1827</v>
      </c>
      <c r="E2664" t="s">
        <v>12951</v>
      </c>
      <c r="F2664">
        <v>4704</v>
      </c>
      <c r="G2664" t="s">
        <v>221</v>
      </c>
      <c r="H2664" t="s">
        <v>16</v>
      </c>
      <c r="I2664" t="s">
        <v>340</v>
      </c>
      <c r="J2664" t="s">
        <v>341</v>
      </c>
      <c r="K2664" t="s">
        <v>1809</v>
      </c>
      <c r="L2664" t="str">
        <f>HYPERLINK("https://business-monitor.ch/de/companies/1227134-pilatuseventures-klg?utm_source=oberaargau","PROFIL ANSEHEN")</f>
        <v>PROFIL ANSEHEN</v>
      </c>
    </row>
    <row r="2665" spans="1:12" x14ac:dyDescent="0.2">
      <c r="A2665" t="s">
        <v>5530</v>
      </c>
      <c r="B2665" t="s">
        <v>5531</v>
      </c>
      <c r="C2665" t="s">
        <v>1812</v>
      </c>
      <c r="E2665" t="s">
        <v>5532</v>
      </c>
      <c r="F2665">
        <v>4914</v>
      </c>
      <c r="G2665" t="s">
        <v>717</v>
      </c>
      <c r="H2665" t="s">
        <v>16</v>
      </c>
      <c r="I2665" t="s">
        <v>679</v>
      </c>
      <c r="J2665" t="s">
        <v>680</v>
      </c>
      <c r="K2665" t="s">
        <v>1809</v>
      </c>
      <c r="L2665" t="str">
        <f>HYPERLINK("https://business-monitor.ch/de/companies/89916-roth-kurt?utm_source=oberaargau","PROFIL ANSEHEN")</f>
        <v>PROFIL ANSEHEN</v>
      </c>
    </row>
    <row r="2666" spans="1:12" x14ac:dyDescent="0.2">
      <c r="A2666" t="s">
        <v>6272</v>
      </c>
      <c r="B2666" t="s">
        <v>6273</v>
      </c>
      <c r="C2666" t="s">
        <v>202</v>
      </c>
      <c r="E2666" t="s">
        <v>5552</v>
      </c>
      <c r="F2666">
        <v>4704</v>
      </c>
      <c r="G2666" t="s">
        <v>221</v>
      </c>
      <c r="H2666" t="s">
        <v>16</v>
      </c>
      <c r="I2666" t="s">
        <v>6274</v>
      </c>
      <c r="J2666" t="s">
        <v>6275</v>
      </c>
      <c r="K2666" t="s">
        <v>1809</v>
      </c>
      <c r="L2666" t="str">
        <f>HYPERLINK("https://business-monitor.ch/de/companies/345469-event-workers-gmbh?utm_source=oberaargau","PROFIL ANSEHEN")</f>
        <v>PROFIL ANSEHEN</v>
      </c>
    </row>
    <row r="2667" spans="1:12" x14ac:dyDescent="0.2">
      <c r="A2667" t="s">
        <v>9294</v>
      </c>
      <c r="B2667" t="s">
        <v>9295</v>
      </c>
      <c r="C2667" t="s">
        <v>84</v>
      </c>
      <c r="E2667" t="s">
        <v>4711</v>
      </c>
      <c r="F2667">
        <v>4950</v>
      </c>
      <c r="G2667" t="s">
        <v>15</v>
      </c>
      <c r="H2667" t="s">
        <v>16</v>
      </c>
      <c r="I2667" t="s">
        <v>906</v>
      </c>
      <c r="J2667" t="s">
        <v>907</v>
      </c>
      <c r="K2667" t="s">
        <v>1809</v>
      </c>
      <c r="L2667" t="str">
        <f>HYPERLINK("https://business-monitor.ch/de/companies/99039-wohn-und-gewerbegenossenschaft-huttwil-wgh?utm_source=oberaargau","PROFIL ANSEHEN")</f>
        <v>PROFIL ANSEHEN</v>
      </c>
    </row>
    <row r="2668" spans="1:12" x14ac:dyDescent="0.2">
      <c r="A2668" t="s">
        <v>13482</v>
      </c>
      <c r="B2668" t="s">
        <v>13483</v>
      </c>
      <c r="C2668" t="s">
        <v>202</v>
      </c>
      <c r="E2668" t="s">
        <v>1075</v>
      </c>
      <c r="F2668">
        <v>4932</v>
      </c>
      <c r="G2668" t="s">
        <v>325</v>
      </c>
      <c r="H2668" t="s">
        <v>16</v>
      </c>
      <c r="I2668" t="s">
        <v>72</v>
      </c>
      <c r="J2668" t="s">
        <v>73</v>
      </c>
      <c r="K2668" t="s">
        <v>1809</v>
      </c>
      <c r="L2668" t="str">
        <f>HYPERLINK("https://business-monitor.ch/de/companies/1243927-wishes-come-true-gmbh?utm_source=oberaargau","PROFIL ANSEHEN")</f>
        <v>PROFIL ANSEHEN</v>
      </c>
    </row>
    <row r="2669" spans="1:12" x14ac:dyDescent="0.2">
      <c r="A2669" t="s">
        <v>8841</v>
      </c>
      <c r="B2669" t="s">
        <v>8842</v>
      </c>
      <c r="C2669" t="s">
        <v>202</v>
      </c>
      <c r="E2669" t="s">
        <v>8843</v>
      </c>
      <c r="F2669">
        <v>3380</v>
      </c>
      <c r="G2669" t="s">
        <v>29</v>
      </c>
      <c r="H2669" t="s">
        <v>16</v>
      </c>
      <c r="I2669" t="s">
        <v>1704</v>
      </c>
      <c r="J2669" t="s">
        <v>1705</v>
      </c>
      <c r="K2669" t="s">
        <v>1809</v>
      </c>
      <c r="L2669" t="str">
        <f>HYPERLINK("https://business-monitor.ch/de/companies/328080-ivanmeyertours-gmbh?utm_source=oberaargau","PROFIL ANSEHEN")</f>
        <v>PROFIL ANSEHEN</v>
      </c>
    </row>
    <row r="2670" spans="1:12" x14ac:dyDescent="0.2">
      <c r="A2670" t="s">
        <v>13478</v>
      </c>
      <c r="B2670" t="s">
        <v>13479</v>
      </c>
      <c r="C2670" t="s">
        <v>202</v>
      </c>
      <c r="E2670" t="s">
        <v>13649</v>
      </c>
      <c r="F2670">
        <v>3360</v>
      </c>
      <c r="G2670" t="s">
        <v>35</v>
      </c>
      <c r="H2670" t="s">
        <v>16</v>
      </c>
      <c r="I2670" t="s">
        <v>464</v>
      </c>
      <c r="J2670" t="s">
        <v>465</v>
      </c>
      <c r="K2670" t="s">
        <v>1809</v>
      </c>
      <c r="L2670" t="str">
        <f>HYPERLINK("https://business-monitor.ch/de/companies/1243983-pferde-services-gmbh?utm_source=oberaargau","PROFIL ANSEHEN")</f>
        <v>PROFIL ANSEHEN</v>
      </c>
    </row>
    <row r="2671" spans="1:12" x14ac:dyDescent="0.2">
      <c r="A2671" t="s">
        <v>8233</v>
      </c>
      <c r="B2671" t="s">
        <v>8234</v>
      </c>
      <c r="C2671" t="s">
        <v>13</v>
      </c>
      <c r="D2671" t="s">
        <v>2150</v>
      </c>
      <c r="E2671" t="s">
        <v>1357</v>
      </c>
      <c r="F2671">
        <v>4900</v>
      </c>
      <c r="G2671" t="s">
        <v>41</v>
      </c>
      <c r="H2671" t="s">
        <v>16</v>
      </c>
      <c r="I2671" t="s">
        <v>838</v>
      </c>
      <c r="J2671" t="s">
        <v>839</v>
      </c>
      <c r="K2671" t="s">
        <v>1809</v>
      </c>
      <c r="L2671" t="str">
        <f>HYPERLINK("https://business-monitor.ch/de/companies/41050-cadruvi-trading-ag?utm_source=oberaargau","PROFIL ANSEHEN")</f>
        <v>PROFIL ANSEHEN</v>
      </c>
    </row>
    <row r="2672" spans="1:12" x14ac:dyDescent="0.2">
      <c r="A2672" t="s">
        <v>5951</v>
      </c>
      <c r="B2672" t="s">
        <v>5952</v>
      </c>
      <c r="C2672" t="s">
        <v>202</v>
      </c>
      <c r="E2672" t="s">
        <v>5953</v>
      </c>
      <c r="F2672">
        <v>3380</v>
      </c>
      <c r="G2672" t="s">
        <v>29</v>
      </c>
      <c r="H2672" t="s">
        <v>16</v>
      </c>
      <c r="I2672" t="s">
        <v>679</v>
      </c>
      <c r="J2672" t="s">
        <v>680</v>
      </c>
      <c r="K2672" t="s">
        <v>1809</v>
      </c>
      <c r="L2672" t="str">
        <f>HYPERLINK("https://business-monitor.ch/de/companies/471671-schreinerei-meer-gmbh?utm_source=oberaargau","PROFIL ANSEHEN")</f>
        <v>PROFIL ANSEHEN</v>
      </c>
    </row>
    <row r="2673" spans="1:12" x14ac:dyDescent="0.2">
      <c r="A2673" t="s">
        <v>13902</v>
      </c>
      <c r="B2673" t="s">
        <v>13903</v>
      </c>
      <c r="C2673" t="s">
        <v>1812</v>
      </c>
      <c r="E2673" t="s">
        <v>13904</v>
      </c>
      <c r="F2673">
        <v>4914</v>
      </c>
      <c r="G2673" t="s">
        <v>105</v>
      </c>
      <c r="H2673" t="s">
        <v>16</v>
      </c>
      <c r="I2673" t="s">
        <v>2496</v>
      </c>
      <c r="J2673" t="s">
        <v>2497</v>
      </c>
      <c r="K2673" t="s">
        <v>1809</v>
      </c>
      <c r="L2673" t="str">
        <f>HYPERLINK("https://business-monitor.ch/de/companies/1275938-fernando-rodrigues-soares-ferreira-machado-wellness-solutions?utm_source=oberaargau","PROFIL ANSEHEN")</f>
        <v>PROFIL ANSEHEN</v>
      </c>
    </row>
    <row r="2674" spans="1:12" x14ac:dyDescent="0.2">
      <c r="A2674" t="s">
        <v>9397</v>
      </c>
      <c r="B2674" t="s">
        <v>9398</v>
      </c>
      <c r="C2674" t="s">
        <v>13</v>
      </c>
      <c r="E2674" t="s">
        <v>752</v>
      </c>
      <c r="F2674">
        <v>4922</v>
      </c>
      <c r="G2674" t="s">
        <v>99</v>
      </c>
      <c r="H2674" t="s">
        <v>16</v>
      </c>
      <c r="I2674" t="s">
        <v>186</v>
      </c>
      <c r="J2674" t="s">
        <v>187</v>
      </c>
      <c r="K2674" t="s">
        <v>1809</v>
      </c>
      <c r="L2674" t="str">
        <f>HYPERLINK("https://business-monitor.ch/de/companies/52235-idealbau-holding-ag?utm_source=oberaargau","PROFIL ANSEHEN")</f>
        <v>PROFIL ANSEHEN</v>
      </c>
    </row>
    <row r="2675" spans="1:12" x14ac:dyDescent="0.2">
      <c r="A2675" t="s">
        <v>7202</v>
      </c>
      <c r="B2675" t="s">
        <v>7203</v>
      </c>
      <c r="C2675" t="s">
        <v>202</v>
      </c>
      <c r="E2675" t="s">
        <v>11999</v>
      </c>
      <c r="F2675">
        <v>4914</v>
      </c>
      <c r="G2675" t="s">
        <v>105</v>
      </c>
      <c r="H2675" t="s">
        <v>16</v>
      </c>
      <c r="I2675" t="s">
        <v>2900</v>
      </c>
      <c r="J2675" t="s">
        <v>2901</v>
      </c>
      <c r="K2675" t="s">
        <v>1809</v>
      </c>
      <c r="L2675" t="str">
        <f>HYPERLINK("https://business-monitor.ch/de/companies/1037702-youdriveit-gmbh?utm_source=oberaargau","PROFIL ANSEHEN")</f>
        <v>PROFIL ANSEHEN</v>
      </c>
    </row>
    <row r="2676" spans="1:12" x14ac:dyDescent="0.2">
      <c r="A2676" t="s">
        <v>2998</v>
      </c>
      <c r="B2676" t="s">
        <v>2999</v>
      </c>
      <c r="C2676" t="s">
        <v>202</v>
      </c>
      <c r="E2676" t="s">
        <v>2610</v>
      </c>
      <c r="F2676">
        <v>4923</v>
      </c>
      <c r="G2676" t="s">
        <v>732</v>
      </c>
      <c r="H2676" t="s">
        <v>16</v>
      </c>
      <c r="I2676" t="s">
        <v>551</v>
      </c>
      <c r="J2676" t="s">
        <v>552</v>
      </c>
      <c r="K2676" t="s">
        <v>1809</v>
      </c>
      <c r="L2676" t="str">
        <f>HYPERLINK("https://business-monitor.ch/de/companies/354489-china-management-culture-gmbh?utm_source=oberaargau","PROFIL ANSEHEN")</f>
        <v>PROFIL ANSEHEN</v>
      </c>
    </row>
    <row r="2677" spans="1:12" x14ac:dyDescent="0.2">
      <c r="A2677" t="s">
        <v>14540</v>
      </c>
      <c r="B2677" t="s">
        <v>14541</v>
      </c>
      <c r="C2677" t="s">
        <v>202</v>
      </c>
      <c r="D2677" t="s">
        <v>4552</v>
      </c>
      <c r="E2677" t="s">
        <v>1435</v>
      </c>
      <c r="F2677">
        <v>3367</v>
      </c>
      <c r="G2677" t="s">
        <v>455</v>
      </c>
      <c r="H2677" t="s">
        <v>16</v>
      </c>
      <c r="I2677" t="s">
        <v>186</v>
      </c>
      <c r="J2677" t="s">
        <v>187</v>
      </c>
      <c r="K2677" t="s">
        <v>1809</v>
      </c>
      <c r="L2677" t="str">
        <f>HYPERLINK("https://business-monitor.ch/de/companies/1296464-fs-beteiligungen-gmbh?utm_source=oberaargau","PROFIL ANSEHEN")</f>
        <v>PROFIL ANSEHEN</v>
      </c>
    </row>
    <row r="2678" spans="1:12" x14ac:dyDescent="0.2">
      <c r="A2678" t="s">
        <v>14542</v>
      </c>
      <c r="B2678" t="s">
        <v>14543</v>
      </c>
      <c r="C2678" t="s">
        <v>1812</v>
      </c>
      <c r="E2678" t="s">
        <v>14544</v>
      </c>
      <c r="F2678">
        <v>4900</v>
      </c>
      <c r="G2678" t="s">
        <v>41</v>
      </c>
      <c r="H2678" t="s">
        <v>16</v>
      </c>
      <c r="I2678" t="s">
        <v>1860</v>
      </c>
      <c r="J2678" t="s">
        <v>1861</v>
      </c>
      <c r="K2678" t="s">
        <v>1809</v>
      </c>
      <c r="L2678" t="str">
        <f>HYPERLINK("https://business-monitor.ch/de/companies/1296809-haarkult-daniela-waelti?utm_source=oberaargau","PROFIL ANSEHEN")</f>
        <v>PROFIL ANSEHEN</v>
      </c>
    </row>
    <row r="2679" spans="1:12" x14ac:dyDescent="0.2">
      <c r="A2679" t="s">
        <v>7364</v>
      </c>
      <c r="B2679" t="s">
        <v>7365</v>
      </c>
      <c r="C2679" t="s">
        <v>202</v>
      </c>
      <c r="E2679" t="s">
        <v>7366</v>
      </c>
      <c r="F2679">
        <v>4900</v>
      </c>
      <c r="G2679" t="s">
        <v>41</v>
      </c>
      <c r="H2679" t="s">
        <v>16</v>
      </c>
      <c r="I2679" t="s">
        <v>4247</v>
      </c>
      <c r="J2679" t="s">
        <v>4248</v>
      </c>
      <c r="K2679" t="s">
        <v>1809</v>
      </c>
      <c r="L2679" t="str">
        <f>HYPERLINK("https://business-monitor.ch/de/companies/978465-wirbelsaeule-im-zentrum-dr-zweig-gmbh?utm_source=oberaargau","PROFIL ANSEHEN")</f>
        <v>PROFIL ANSEHEN</v>
      </c>
    </row>
    <row r="2680" spans="1:12" x14ac:dyDescent="0.2">
      <c r="A2680" t="s">
        <v>5782</v>
      </c>
      <c r="B2680" t="s">
        <v>5783</v>
      </c>
      <c r="C2680" t="s">
        <v>1812</v>
      </c>
      <c r="E2680" t="s">
        <v>5784</v>
      </c>
      <c r="F2680">
        <v>3362</v>
      </c>
      <c r="G2680" t="s">
        <v>47</v>
      </c>
      <c r="H2680" t="s">
        <v>16</v>
      </c>
      <c r="I2680" t="s">
        <v>1835</v>
      </c>
      <c r="J2680" t="s">
        <v>1836</v>
      </c>
      <c r="K2680" t="s">
        <v>1809</v>
      </c>
      <c r="L2680" t="str">
        <f>HYPERLINK("https://business-monitor.ch/de/companies/926496-die-putzengel-monique-katassou?utm_source=oberaargau","PROFIL ANSEHEN")</f>
        <v>PROFIL ANSEHEN</v>
      </c>
    </row>
    <row r="2681" spans="1:12" x14ac:dyDescent="0.2">
      <c r="A2681" t="s">
        <v>3088</v>
      </c>
      <c r="B2681" t="s">
        <v>6368</v>
      </c>
      <c r="C2681" t="s">
        <v>13</v>
      </c>
      <c r="D2681" t="s">
        <v>6369</v>
      </c>
      <c r="E2681" t="s">
        <v>1011</v>
      </c>
      <c r="F2681">
        <v>4932</v>
      </c>
      <c r="G2681" t="s">
        <v>325</v>
      </c>
      <c r="H2681" t="s">
        <v>16</v>
      </c>
      <c r="I2681" t="s">
        <v>182</v>
      </c>
      <c r="J2681" t="s">
        <v>183</v>
      </c>
      <c r="K2681" t="s">
        <v>1809</v>
      </c>
      <c r="L2681" t="str">
        <f>HYPERLINK("https://business-monitor.ch/de/companies/309064-jorns-holding-ag?utm_source=oberaargau","PROFIL ANSEHEN")</f>
        <v>PROFIL ANSEHEN</v>
      </c>
    </row>
    <row r="2682" spans="1:12" x14ac:dyDescent="0.2">
      <c r="A2682" t="s">
        <v>4271</v>
      </c>
      <c r="B2682" t="s">
        <v>4272</v>
      </c>
      <c r="C2682" t="s">
        <v>1812</v>
      </c>
      <c r="E2682" t="s">
        <v>4273</v>
      </c>
      <c r="F2682">
        <v>4900</v>
      </c>
      <c r="G2682" t="s">
        <v>41</v>
      </c>
      <c r="H2682" t="s">
        <v>16</v>
      </c>
      <c r="I2682" t="s">
        <v>671</v>
      </c>
      <c r="J2682" t="s">
        <v>672</v>
      </c>
      <c r="K2682" t="s">
        <v>1809</v>
      </c>
      <c r="L2682" t="str">
        <f>HYPERLINK("https://business-monitor.ch/de/companies/978973-kinderarztpraxis-dr-med-alexandra-holenweg?utm_source=oberaargau","PROFIL ANSEHEN")</f>
        <v>PROFIL ANSEHEN</v>
      </c>
    </row>
    <row r="2683" spans="1:12" x14ac:dyDescent="0.2">
      <c r="A2683" t="s">
        <v>5785</v>
      </c>
      <c r="B2683" t="s">
        <v>5786</v>
      </c>
      <c r="C2683" t="s">
        <v>13</v>
      </c>
      <c r="E2683" t="s">
        <v>5787</v>
      </c>
      <c r="F2683">
        <v>4953</v>
      </c>
      <c r="G2683" t="s">
        <v>416</v>
      </c>
      <c r="H2683" t="s">
        <v>16</v>
      </c>
      <c r="I2683" t="s">
        <v>366</v>
      </c>
      <c r="J2683" t="s">
        <v>367</v>
      </c>
      <c r="K2683" t="s">
        <v>1809</v>
      </c>
      <c r="L2683" t="str">
        <f>HYPERLINK("https://business-monitor.ch/de/companies/1076762-oberi-baech-ag?utm_source=oberaargau","PROFIL ANSEHEN")</f>
        <v>PROFIL ANSEHEN</v>
      </c>
    </row>
    <row r="2684" spans="1:12" x14ac:dyDescent="0.2">
      <c r="A2684" t="s">
        <v>7306</v>
      </c>
      <c r="B2684" t="s">
        <v>7307</v>
      </c>
      <c r="C2684" t="s">
        <v>1812</v>
      </c>
      <c r="E2684" t="s">
        <v>7308</v>
      </c>
      <c r="F2684">
        <v>4932</v>
      </c>
      <c r="G2684" t="s">
        <v>325</v>
      </c>
      <c r="H2684" t="s">
        <v>16</v>
      </c>
      <c r="I2684" t="s">
        <v>1401</v>
      </c>
      <c r="J2684" t="s">
        <v>1402</v>
      </c>
      <c r="K2684" t="s">
        <v>1809</v>
      </c>
      <c r="L2684" t="str">
        <f>HYPERLINK("https://business-monitor.ch/de/companies/1006169-blumenhaus-gerber?utm_source=oberaargau","PROFIL ANSEHEN")</f>
        <v>PROFIL ANSEHEN</v>
      </c>
    </row>
    <row r="2685" spans="1:12" x14ac:dyDescent="0.2">
      <c r="A2685" t="s">
        <v>14545</v>
      </c>
      <c r="B2685" t="s">
        <v>14546</v>
      </c>
      <c r="C2685" t="s">
        <v>13</v>
      </c>
      <c r="E2685" t="s">
        <v>550</v>
      </c>
      <c r="F2685">
        <v>4900</v>
      </c>
      <c r="G2685" t="s">
        <v>41</v>
      </c>
      <c r="H2685" t="s">
        <v>16</v>
      </c>
      <c r="I2685" t="s">
        <v>2050</v>
      </c>
      <c r="J2685" t="s">
        <v>2051</v>
      </c>
      <c r="K2685" t="s">
        <v>1809</v>
      </c>
      <c r="L2685" t="str">
        <f>HYPERLINK("https://business-monitor.ch/de/companies/1296620-silkhaus-ag?utm_source=oberaargau","PROFIL ANSEHEN")</f>
        <v>PROFIL ANSEHEN</v>
      </c>
    </row>
    <row r="2686" spans="1:12" x14ac:dyDescent="0.2">
      <c r="A2686" t="s">
        <v>9708</v>
      </c>
      <c r="B2686" t="s">
        <v>9709</v>
      </c>
      <c r="C2686" t="s">
        <v>13</v>
      </c>
      <c r="E2686" t="s">
        <v>9435</v>
      </c>
      <c r="F2686">
        <v>4938</v>
      </c>
      <c r="G2686" t="s">
        <v>618</v>
      </c>
      <c r="H2686" t="s">
        <v>16</v>
      </c>
      <c r="I2686" t="s">
        <v>1470</v>
      </c>
      <c r="J2686" t="s">
        <v>1471</v>
      </c>
      <c r="K2686" t="s">
        <v>1809</v>
      </c>
      <c r="L2686" t="str">
        <f>HYPERLINK("https://business-monitor.ch/de/companies/1046980-flueckiger-gebaeudetechnik-ag?utm_source=oberaargau","PROFIL ANSEHEN")</f>
        <v>PROFIL ANSEHEN</v>
      </c>
    </row>
    <row r="2687" spans="1:12" x14ac:dyDescent="0.2">
      <c r="A2687" t="s">
        <v>4979</v>
      </c>
      <c r="B2687" t="s">
        <v>4980</v>
      </c>
      <c r="C2687" t="s">
        <v>1922</v>
      </c>
      <c r="E2687" t="s">
        <v>4981</v>
      </c>
      <c r="F2687">
        <v>3360</v>
      </c>
      <c r="G2687" t="s">
        <v>35</v>
      </c>
      <c r="H2687" t="s">
        <v>16</v>
      </c>
      <c r="I2687" t="s">
        <v>366</v>
      </c>
      <c r="J2687" t="s">
        <v>367</v>
      </c>
      <c r="K2687" t="s">
        <v>1809</v>
      </c>
      <c r="L2687" t="str">
        <f>HYPERLINK("https://business-monitor.ch/de/companies/141128-scheidegg-alterszentrum?utm_source=oberaargau","PROFIL ANSEHEN")</f>
        <v>PROFIL ANSEHEN</v>
      </c>
    </row>
    <row r="2688" spans="1:12" x14ac:dyDescent="0.2">
      <c r="A2688" t="s">
        <v>13132</v>
      </c>
      <c r="B2688" t="s">
        <v>13133</v>
      </c>
      <c r="C2688" t="s">
        <v>13</v>
      </c>
      <c r="E2688" t="s">
        <v>9101</v>
      </c>
      <c r="F2688">
        <v>3362</v>
      </c>
      <c r="G2688" t="s">
        <v>47</v>
      </c>
      <c r="H2688" t="s">
        <v>16</v>
      </c>
      <c r="I2688" t="s">
        <v>186</v>
      </c>
      <c r="J2688" t="s">
        <v>187</v>
      </c>
      <c r="K2688" t="s">
        <v>1809</v>
      </c>
      <c r="L2688" t="str">
        <f>HYPERLINK("https://business-monitor.ch/de/companies/1239829-holu-holding-ag?utm_source=oberaargau","PROFIL ANSEHEN")</f>
        <v>PROFIL ANSEHEN</v>
      </c>
    </row>
    <row r="2689" spans="1:12" x14ac:dyDescent="0.2">
      <c r="A2689" t="s">
        <v>3672</v>
      </c>
      <c r="B2689" t="s">
        <v>3673</v>
      </c>
      <c r="C2689" t="s">
        <v>13</v>
      </c>
      <c r="E2689" t="s">
        <v>1025</v>
      </c>
      <c r="F2689">
        <v>4900</v>
      </c>
      <c r="G2689" t="s">
        <v>41</v>
      </c>
      <c r="H2689" t="s">
        <v>16</v>
      </c>
      <c r="I2689" t="s">
        <v>186</v>
      </c>
      <c r="J2689" t="s">
        <v>187</v>
      </c>
      <c r="K2689" t="s">
        <v>1809</v>
      </c>
      <c r="L2689" t="str">
        <f>HYPERLINK("https://business-monitor.ch/de/companies/36712-garage-gautschi-holding-ag?utm_source=oberaargau","PROFIL ANSEHEN")</f>
        <v>PROFIL ANSEHEN</v>
      </c>
    </row>
    <row r="2690" spans="1:12" x14ac:dyDescent="0.2">
      <c r="A2690" t="s">
        <v>13947</v>
      </c>
      <c r="B2690" t="s">
        <v>13948</v>
      </c>
      <c r="C2690" t="s">
        <v>13</v>
      </c>
      <c r="E2690" t="s">
        <v>14547</v>
      </c>
      <c r="F2690">
        <v>4704</v>
      </c>
      <c r="G2690" t="s">
        <v>221</v>
      </c>
      <c r="H2690" t="s">
        <v>16</v>
      </c>
      <c r="I2690" t="s">
        <v>551</v>
      </c>
      <c r="J2690" t="s">
        <v>552</v>
      </c>
      <c r="K2690" t="s">
        <v>1809</v>
      </c>
      <c r="L2690" t="str">
        <f>HYPERLINK("https://business-monitor.ch/de/companies/643380-olymp-management-ag?utm_source=oberaargau","PROFIL ANSEHEN")</f>
        <v>PROFIL ANSEHEN</v>
      </c>
    </row>
    <row r="2691" spans="1:12" x14ac:dyDescent="0.2">
      <c r="A2691" t="s">
        <v>7860</v>
      </c>
      <c r="B2691" t="s">
        <v>7861</v>
      </c>
      <c r="C2691" t="s">
        <v>1812</v>
      </c>
      <c r="E2691" t="s">
        <v>7862</v>
      </c>
      <c r="F2691">
        <v>4937</v>
      </c>
      <c r="G2691" t="s">
        <v>951</v>
      </c>
      <c r="H2691" t="s">
        <v>16</v>
      </c>
      <c r="I2691" t="s">
        <v>134</v>
      </c>
      <c r="J2691" t="s">
        <v>135</v>
      </c>
      <c r="K2691" t="s">
        <v>1809</v>
      </c>
      <c r="L2691" t="str">
        <f>HYPERLINK("https://business-monitor.ch/de/companies/341964-elektro-brand?utm_source=oberaargau","PROFIL ANSEHEN")</f>
        <v>PROFIL ANSEHEN</v>
      </c>
    </row>
    <row r="2692" spans="1:12" x14ac:dyDescent="0.2">
      <c r="A2692" t="s">
        <v>4226</v>
      </c>
      <c r="B2692" t="s">
        <v>4227</v>
      </c>
      <c r="C2692" t="s">
        <v>202</v>
      </c>
      <c r="E2692" t="s">
        <v>4228</v>
      </c>
      <c r="F2692">
        <v>3360</v>
      </c>
      <c r="G2692" t="s">
        <v>35</v>
      </c>
      <c r="H2692" t="s">
        <v>16</v>
      </c>
      <c r="I2692" t="s">
        <v>1852</v>
      </c>
      <c r="J2692" t="s">
        <v>1853</v>
      </c>
      <c r="K2692" t="s">
        <v>1809</v>
      </c>
      <c r="L2692" t="str">
        <f>HYPERLINK("https://business-monitor.ch/de/companies/994909-edi-express-gmbh?utm_source=oberaargau","PROFIL ANSEHEN")</f>
        <v>PROFIL ANSEHEN</v>
      </c>
    </row>
    <row r="2693" spans="1:12" x14ac:dyDescent="0.2">
      <c r="A2693" t="s">
        <v>6905</v>
      </c>
      <c r="B2693" t="s">
        <v>6906</v>
      </c>
      <c r="C2693" t="s">
        <v>1812</v>
      </c>
      <c r="E2693" t="s">
        <v>6907</v>
      </c>
      <c r="F2693">
        <v>4912</v>
      </c>
      <c r="G2693" t="s">
        <v>64</v>
      </c>
      <c r="H2693" t="s">
        <v>16</v>
      </c>
      <c r="I2693" t="s">
        <v>331</v>
      </c>
      <c r="J2693" t="s">
        <v>332</v>
      </c>
      <c r="K2693" t="s">
        <v>1809</v>
      </c>
      <c r="L2693" t="str">
        <f>HYPERLINK("https://business-monitor.ch/de/companies/19665-marcel-egli?utm_source=oberaargau","PROFIL ANSEHEN")</f>
        <v>PROFIL ANSEHEN</v>
      </c>
    </row>
    <row r="2694" spans="1:12" x14ac:dyDescent="0.2">
      <c r="A2694" t="s">
        <v>5325</v>
      </c>
      <c r="B2694" t="s">
        <v>5326</v>
      </c>
      <c r="C2694" t="s">
        <v>202</v>
      </c>
      <c r="E2694" t="s">
        <v>1170</v>
      </c>
      <c r="F2694">
        <v>4900</v>
      </c>
      <c r="G2694" t="s">
        <v>41</v>
      </c>
      <c r="H2694" t="s">
        <v>16</v>
      </c>
      <c r="I2694" t="s">
        <v>3493</v>
      </c>
      <c r="J2694" t="s">
        <v>3494</v>
      </c>
      <c r="K2694" t="s">
        <v>1809</v>
      </c>
      <c r="L2694" t="str">
        <f>HYPERLINK("https://business-monitor.ch/de/companies/354453-beni-reali-gmbh?utm_source=oberaargau","PROFIL ANSEHEN")</f>
        <v>PROFIL ANSEHEN</v>
      </c>
    </row>
    <row r="2695" spans="1:12" x14ac:dyDescent="0.2">
      <c r="A2695" t="s">
        <v>9430</v>
      </c>
      <c r="B2695" t="s">
        <v>9431</v>
      </c>
      <c r="C2695" t="s">
        <v>1812</v>
      </c>
      <c r="E2695" t="s">
        <v>9432</v>
      </c>
      <c r="F2695">
        <v>4950</v>
      </c>
      <c r="G2695" t="s">
        <v>15</v>
      </c>
      <c r="H2695" t="s">
        <v>16</v>
      </c>
      <c r="I2695" t="s">
        <v>2438</v>
      </c>
      <c r="J2695" t="s">
        <v>2439</v>
      </c>
      <c r="K2695" t="s">
        <v>1809</v>
      </c>
      <c r="L2695" t="str">
        <f>HYPERLINK("https://business-monitor.ch/de/companies/10307-fritz-zuercher?utm_source=oberaargau","PROFIL ANSEHEN")</f>
        <v>PROFIL ANSEHEN</v>
      </c>
    </row>
    <row r="2696" spans="1:12" x14ac:dyDescent="0.2">
      <c r="A2696" t="s">
        <v>8383</v>
      </c>
      <c r="B2696" t="s">
        <v>8384</v>
      </c>
      <c r="C2696" t="s">
        <v>84</v>
      </c>
      <c r="D2696" t="s">
        <v>10980</v>
      </c>
      <c r="E2696" t="s">
        <v>10981</v>
      </c>
      <c r="F2696">
        <v>4953</v>
      </c>
      <c r="G2696" t="s">
        <v>416</v>
      </c>
      <c r="H2696" t="s">
        <v>16</v>
      </c>
      <c r="I2696" t="s">
        <v>640</v>
      </c>
      <c r="J2696" t="s">
        <v>641</v>
      </c>
      <c r="K2696" t="s">
        <v>1809</v>
      </c>
      <c r="L2696" t="str">
        <f>HYPERLINK("https://business-monitor.ch/de/companies/67862-alpgenossenschaft-erzberg?utm_source=oberaargau","PROFIL ANSEHEN")</f>
        <v>PROFIL ANSEHEN</v>
      </c>
    </row>
    <row r="2697" spans="1:12" x14ac:dyDescent="0.2">
      <c r="A2697" t="s">
        <v>8504</v>
      </c>
      <c r="B2697" t="s">
        <v>8505</v>
      </c>
      <c r="C2697" t="s">
        <v>1812</v>
      </c>
      <c r="E2697" t="s">
        <v>10757</v>
      </c>
      <c r="F2697">
        <v>4539</v>
      </c>
      <c r="G2697" t="s">
        <v>1134</v>
      </c>
      <c r="H2697" t="s">
        <v>16</v>
      </c>
      <c r="I2697" t="s">
        <v>24</v>
      </c>
      <c r="J2697" t="s">
        <v>25</v>
      </c>
      <c r="K2697" t="s">
        <v>1809</v>
      </c>
      <c r="L2697" t="str">
        <f>HYPERLINK("https://business-monitor.ch/de/companies/508981-it-consulting-eggenschwiler?utm_source=oberaargau","PROFIL ANSEHEN")</f>
        <v>PROFIL ANSEHEN</v>
      </c>
    </row>
    <row r="2698" spans="1:12" x14ac:dyDescent="0.2">
      <c r="A2698" t="s">
        <v>14259</v>
      </c>
      <c r="B2698" t="s">
        <v>14260</v>
      </c>
      <c r="C2698" t="s">
        <v>202</v>
      </c>
      <c r="D2698" t="s">
        <v>14261</v>
      </c>
      <c r="E2698" t="s">
        <v>13760</v>
      </c>
      <c r="F2698">
        <v>3380</v>
      </c>
      <c r="G2698" t="s">
        <v>3483</v>
      </c>
      <c r="H2698" t="s">
        <v>16</v>
      </c>
      <c r="I2698" t="s">
        <v>2849</v>
      </c>
      <c r="J2698" t="s">
        <v>2850</v>
      </c>
      <c r="K2698" t="s">
        <v>1809</v>
      </c>
      <c r="L2698" t="str">
        <f>HYPERLINK("https://business-monitor.ch/de/companies/1290161-profsa-gmbh?utm_source=oberaargau","PROFIL ANSEHEN")</f>
        <v>PROFIL ANSEHEN</v>
      </c>
    </row>
    <row r="2699" spans="1:12" x14ac:dyDescent="0.2">
      <c r="A2699" t="s">
        <v>3967</v>
      </c>
      <c r="B2699" t="s">
        <v>3968</v>
      </c>
      <c r="C2699" t="s">
        <v>1812</v>
      </c>
      <c r="E2699" t="s">
        <v>3969</v>
      </c>
      <c r="F2699">
        <v>4932</v>
      </c>
      <c r="G2699" t="s">
        <v>325</v>
      </c>
      <c r="H2699" t="s">
        <v>16</v>
      </c>
      <c r="I2699" t="s">
        <v>1865</v>
      </c>
      <c r="J2699" t="s">
        <v>1866</v>
      </c>
      <c r="K2699" t="s">
        <v>1809</v>
      </c>
      <c r="L2699" t="str">
        <f>HYPERLINK("https://business-monitor.ch/de/companies/1006523-schweizer-facility-services?utm_source=oberaargau","PROFIL ANSEHEN")</f>
        <v>PROFIL ANSEHEN</v>
      </c>
    </row>
    <row r="2700" spans="1:12" x14ac:dyDescent="0.2">
      <c r="A2700" t="s">
        <v>4201</v>
      </c>
      <c r="B2700" t="s">
        <v>4202</v>
      </c>
      <c r="C2700" t="s">
        <v>1812</v>
      </c>
      <c r="E2700" t="s">
        <v>3213</v>
      </c>
      <c r="F2700">
        <v>4922</v>
      </c>
      <c r="G2700" t="s">
        <v>99</v>
      </c>
      <c r="H2700" t="s">
        <v>16</v>
      </c>
      <c r="I2700" t="s">
        <v>824</v>
      </c>
      <c r="J2700" t="s">
        <v>825</v>
      </c>
      <c r="K2700" t="s">
        <v>1809</v>
      </c>
      <c r="L2700" t="str">
        <f>HYPERLINK("https://business-monitor.ch/de/companies/1007181-buetzberg-express-pizza-kurier-mustafa-yasar?utm_source=oberaargau","PROFIL ANSEHEN")</f>
        <v>PROFIL ANSEHEN</v>
      </c>
    </row>
    <row r="2701" spans="1:12" x14ac:dyDescent="0.2">
      <c r="A2701" t="s">
        <v>9262</v>
      </c>
      <c r="B2701" t="s">
        <v>9263</v>
      </c>
      <c r="C2701" t="s">
        <v>13</v>
      </c>
      <c r="E2701" t="s">
        <v>2225</v>
      </c>
      <c r="F2701">
        <v>4912</v>
      </c>
      <c r="G2701" t="s">
        <v>64</v>
      </c>
      <c r="H2701" t="s">
        <v>16</v>
      </c>
      <c r="I2701" t="s">
        <v>906</v>
      </c>
      <c r="J2701" t="s">
        <v>907</v>
      </c>
      <c r="K2701" t="s">
        <v>1809</v>
      </c>
      <c r="L2701" t="str">
        <f>HYPERLINK("https://business-monitor.ch/de/companies/114056-aarsana-ag?utm_source=oberaargau","PROFIL ANSEHEN")</f>
        <v>PROFIL ANSEHEN</v>
      </c>
    </row>
    <row r="2702" spans="1:12" x14ac:dyDescent="0.2">
      <c r="A2702" t="s">
        <v>13912</v>
      </c>
      <c r="B2702" t="s">
        <v>13913</v>
      </c>
      <c r="C2702" t="s">
        <v>202</v>
      </c>
      <c r="E2702" t="s">
        <v>8958</v>
      </c>
      <c r="F2702">
        <v>3362</v>
      </c>
      <c r="G2702" t="s">
        <v>47</v>
      </c>
      <c r="H2702" t="s">
        <v>16</v>
      </c>
      <c r="I2702" t="s">
        <v>551</v>
      </c>
      <c r="J2702" t="s">
        <v>552</v>
      </c>
      <c r="K2702" t="s">
        <v>1809</v>
      </c>
      <c r="L2702" t="str">
        <f>HYPERLINK("https://business-monitor.ch/de/companies/49111-vancor-gmbh?utm_source=oberaargau","PROFIL ANSEHEN")</f>
        <v>PROFIL ANSEHEN</v>
      </c>
    </row>
    <row r="2703" spans="1:12" x14ac:dyDescent="0.2">
      <c r="A2703" t="s">
        <v>8873</v>
      </c>
      <c r="B2703" t="s">
        <v>8874</v>
      </c>
      <c r="C2703" t="s">
        <v>202</v>
      </c>
      <c r="E2703" t="s">
        <v>11482</v>
      </c>
      <c r="F2703">
        <v>4536</v>
      </c>
      <c r="G2703" t="s">
        <v>1395</v>
      </c>
      <c r="H2703" t="s">
        <v>16</v>
      </c>
      <c r="I2703" t="s">
        <v>2522</v>
      </c>
      <c r="J2703" t="s">
        <v>2523</v>
      </c>
      <c r="K2703" t="s">
        <v>1809</v>
      </c>
      <c r="L2703" t="str">
        <f>HYPERLINK("https://business-monitor.ch/de/companies/312282-motax-gmbh?utm_source=oberaargau","PROFIL ANSEHEN")</f>
        <v>PROFIL ANSEHEN</v>
      </c>
    </row>
    <row r="2704" spans="1:12" x14ac:dyDescent="0.2">
      <c r="A2704" t="s">
        <v>7230</v>
      </c>
      <c r="B2704" t="s">
        <v>11870</v>
      </c>
      <c r="C2704" t="s">
        <v>13</v>
      </c>
      <c r="E2704" t="s">
        <v>2541</v>
      </c>
      <c r="F2704">
        <v>4704</v>
      </c>
      <c r="G2704" t="s">
        <v>221</v>
      </c>
      <c r="H2704" t="s">
        <v>16</v>
      </c>
      <c r="I2704" t="s">
        <v>1865</v>
      </c>
      <c r="J2704" t="s">
        <v>1866</v>
      </c>
      <c r="K2704" t="s">
        <v>1809</v>
      </c>
      <c r="L2704" t="str">
        <f>HYPERLINK("https://business-monitor.ch/de/companies/1028574-mos-hauswartdienst-reinigung-ag?utm_source=oberaargau","PROFIL ANSEHEN")</f>
        <v>PROFIL ANSEHEN</v>
      </c>
    </row>
    <row r="2705" spans="1:12" x14ac:dyDescent="0.2">
      <c r="A2705" t="s">
        <v>9401</v>
      </c>
      <c r="B2705" t="s">
        <v>9402</v>
      </c>
      <c r="C2705" t="s">
        <v>13</v>
      </c>
      <c r="E2705" t="s">
        <v>2430</v>
      </c>
      <c r="F2705">
        <v>4538</v>
      </c>
      <c r="G2705" t="s">
        <v>71</v>
      </c>
      <c r="H2705" t="s">
        <v>16</v>
      </c>
      <c r="I2705" t="s">
        <v>587</v>
      </c>
      <c r="J2705" t="s">
        <v>588</v>
      </c>
      <c r="K2705" t="s">
        <v>1809</v>
      </c>
      <c r="L2705" t="str">
        <f>HYPERLINK("https://business-monitor.ch/de/companies/45931-ingenieurbuero-luethi-ag?utm_source=oberaargau","PROFIL ANSEHEN")</f>
        <v>PROFIL ANSEHEN</v>
      </c>
    </row>
    <row r="2706" spans="1:12" x14ac:dyDescent="0.2">
      <c r="A2706" t="s">
        <v>5472</v>
      </c>
      <c r="B2706" t="s">
        <v>5473</v>
      </c>
      <c r="C2706" t="s">
        <v>1812</v>
      </c>
      <c r="E2706" t="s">
        <v>5474</v>
      </c>
      <c r="F2706">
        <v>4536</v>
      </c>
      <c r="G2706" t="s">
        <v>1395</v>
      </c>
      <c r="H2706" t="s">
        <v>16</v>
      </c>
      <c r="I2706" t="s">
        <v>464</v>
      </c>
      <c r="J2706" t="s">
        <v>465</v>
      </c>
      <c r="K2706" t="s">
        <v>1809</v>
      </c>
      <c r="L2706" t="str">
        <f>HYPERLINK("https://business-monitor.ch/de/companies/176682-urs-gugelmann-transporte?utm_source=oberaargau","PROFIL ANSEHEN")</f>
        <v>PROFIL ANSEHEN</v>
      </c>
    </row>
    <row r="2707" spans="1:12" x14ac:dyDescent="0.2">
      <c r="A2707" t="s">
        <v>14173</v>
      </c>
      <c r="B2707" t="s">
        <v>14174</v>
      </c>
      <c r="C2707" t="s">
        <v>202</v>
      </c>
      <c r="E2707" t="s">
        <v>14175</v>
      </c>
      <c r="F2707">
        <v>3360</v>
      </c>
      <c r="G2707" t="s">
        <v>35</v>
      </c>
      <c r="H2707" t="s">
        <v>16</v>
      </c>
      <c r="I2707" t="s">
        <v>913</v>
      </c>
      <c r="J2707" t="s">
        <v>914</v>
      </c>
      <c r="K2707" t="s">
        <v>1809</v>
      </c>
      <c r="L2707" t="str">
        <f>HYPERLINK("https://business-monitor.ch/de/companies/1286399-ministop-gmbh?utm_source=oberaargau","PROFIL ANSEHEN")</f>
        <v>PROFIL ANSEHEN</v>
      </c>
    </row>
    <row r="2708" spans="1:12" x14ac:dyDescent="0.2">
      <c r="A2708" t="s">
        <v>5133</v>
      </c>
      <c r="B2708" t="s">
        <v>5134</v>
      </c>
      <c r="C2708" t="s">
        <v>202</v>
      </c>
      <c r="E2708" t="s">
        <v>5135</v>
      </c>
      <c r="F2708">
        <v>3365</v>
      </c>
      <c r="G2708" t="s">
        <v>2390</v>
      </c>
      <c r="H2708" t="s">
        <v>16</v>
      </c>
      <c r="I2708" t="s">
        <v>551</v>
      </c>
      <c r="J2708" t="s">
        <v>552</v>
      </c>
      <c r="K2708" t="s">
        <v>1809</v>
      </c>
      <c r="L2708" t="str">
        <f>HYPERLINK("https://business-monitor.ch/de/companies/349438-carmenna-gmbh?utm_source=oberaargau","PROFIL ANSEHEN")</f>
        <v>PROFIL ANSEHEN</v>
      </c>
    </row>
    <row r="2709" spans="1:12" x14ac:dyDescent="0.2">
      <c r="A2709" t="s">
        <v>11295</v>
      </c>
      <c r="B2709" t="s">
        <v>11296</v>
      </c>
      <c r="C2709" t="s">
        <v>1922</v>
      </c>
      <c r="D2709" t="s">
        <v>5218</v>
      </c>
      <c r="E2709" t="s">
        <v>5219</v>
      </c>
      <c r="F2709">
        <v>4900</v>
      </c>
      <c r="G2709" t="s">
        <v>41</v>
      </c>
      <c r="H2709" t="s">
        <v>16</v>
      </c>
      <c r="I2709" t="s">
        <v>3272</v>
      </c>
      <c r="J2709" t="s">
        <v>3273</v>
      </c>
      <c r="K2709" t="s">
        <v>1809</v>
      </c>
      <c r="L2709" t="str">
        <f>HYPERLINK("https://business-monitor.ch/de/companies/1131546-fondation-elpo?utm_source=oberaargau","PROFIL ANSEHEN")</f>
        <v>PROFIL ANSEHEN</v>
      </c>
    </row>
    <row r="2710" spans="1:12" x14ac:dyDescent="0.2">
      <c r="A2710" t="s">
        <v>6318</v>
      </c>
      <c r="B2710" t="s">
        <v>6319</v>
      </c>
      <c r="C2710" t="s">
        <v>1812</v>
      </c>
      <c r="E2710" t="s">
        <v>5913</v>
      </c>
      <c r="F2710">
        <v>3377</v>
      </c>
      <c r="G2710" t="s">
        <v>1307</v>
      </c>
      <c r="H2710" t="s">
        <v>16</v>
      </c>
      <c r="I2710" t="s">
        <v>1296</v>
      </c>
      <c r="J2710" t="s">
        <v>1297</v>
      </c>
      <c r="K2710" t="s">
        <v>1809</v>
      </c>
      <c r="L2710" t="str">
        <f>HYPERLINK("https://business-monitor.ch/de/companies/328773-rougemarketing-daniel-roth?utm_source=oberaargau","PROFIL ANSEHEN")</f>
        <v>PROFIL ANSEHEN</v>
      </c>
    </row>
    <row r="2711" spans="1:12" x14ac:dyDescent="0.2">
      <c r="A2711" t="s">
        <v>11484</v>
      </c>
      <c r="B2711" t="s">
        <v>11485</v>
      </c>
      <c r="C2711" t="s">
        <v>202</v>
      </c>
      <c r="E2711" t="s">
        <v>14165</v>
      </c>
      <c r="F2711">
        <v>4933</v>
      </c>
      <c r="G2711" t="s">
        <v>3812</v>
      </c>
      <c r="H2711" t="s">
        <v>16</v>
      </c>
      <c r="I2711" t="s">
        <v>551</v>
      </c>
      <c r="J2711" t="s">
        <v>552</v>
      </c>
      <c r="K2711" t="s">
        <v>1809</v>
      </c>
      <c r="L2711" t="str">
        <f>HYPERLINK("https://business-monitor.ch/de/companies/426273-mara-eberhard-partner-gmbh?utm_source=oberaargau","PROFIL ANSEHEN")</f>
        <v>PROFIL ANSEHEN</v>
      </c>
    </row>
    <row r="2712" spans="1:12" x14ac:dyDescent="0.2">
      <c r="A2712" t="s">
        <v>9833</v>
      </c>
      <c r="B2712" t="s">
        <v>9834</v>
      </c>
      <c r="C2712" t="s">
        <v>13</v>
      </c>
      <c r="D2712" t="s">
        <v>9835</v>
      </c>
      <c r="E2712" t="s">
        <v>3263</v>
      </c>
      <c r="F2712">
        <v>3360</v>
      </c>
      <c r="G2712" t="s">
        <v>35</v>
      </c>
      <c r="H2712" t="s">
        <v>16</v>
      </c>
      <c r="I2712" t="s">
        <v>182</v>
      </c>
      <c r="J2712" t="s">
        <v>183</v>
      </c>
      <c r="K2712" t="s">
        <v>1809</v>
      </c>
      <c r="L2712" t="str">
        <f>HYPERLINK("https://business-monitor.ch/de/companies/991949-thaeler-holding-ag?utm_source=oberaargau","PROFIL ANSEHEN")</f>
        <v>PROFIL ANSEHEN</v>
      </c>
    </row>
    <row r="2713" spans="1:12" x14ac:dyDescent="0.2">
      <c r="A2713" t="s">
        <v>2260</v>
      </c>
      <c r="B2713" t="s">
        <v>2261</v>
      </c>
      <c r="C2713" t="s">
        <v>1812</v>
      </c>
      <c r="E2713" t="s">
        <v>2262</v>
      </c>
      <c r="F2713">
        <v>4704</v>
      </c>
      <c r="G2713" t="s">
        <v>221</v>
      </c>
      <c r="H2713" t="s">
        <v>16</v>
      </c>
      <c r="I2713" t="s">
        <v>551</v>
      </c>
      <c r="J2713" t="s">
        <v>552</v>
      </c>
      <c r="K2713" t="s">
        <v>1809</v>
      </c>
      <c r="L2713" t="str">
        <f>HYPERLINK("https://business-monitor.ch/de/companies/389329-monika-sulser-beratungen?utm_source=oberaargau","PROFIL ANSEHEN")</f>
        <v>PROFIL ANSEHEN</v>
      </c>
    </row>
    <row r="2714" spans="1:12" x14ac:dyDescent="0.2">
      <c r="A2714" t="s">
        <v>5163</v>
      </c>
      <c r="B2714" t="s">
        <v>5164</v>
      </c>
      <c r="C2714" t="s">
        <v>1812</v>
      </c>
      <c r="E2714" t="s">
        <v>5165</v>
      </c>
      <c r="F2714">
        <v>4950</v>
      </c>
      <c r="G2714" t="s">
        <v>15</v>
      </c>
      <c r="H2714" t="s">
        <v>16</v>
      </c>
      <c r="I2714" t="s">
        <v>1981</v>
      </c>
      <c r="J2714" t="s">
        <v>1982</v>
      </c>
      <c r="K2714" t="s">
        <v>1809</v>
      </c>
      <c r="L2714" t="str">
        <f>HYPERLINK("https://business-monitor.ch/de/companies/173795-urs-dubach?utm_source=oberaargau","PROFIL ANSEHEN")</f>
        <v>PROFIL ANSEHEN</v>
      </c>
    </row>
    <row r="2715" spans="1:12" x14ac:dyDescent="0.2">
      <c r="A2715" t="s">
        <v>8108</v>
      </c>
      <c r="B2715" t="s">
        <v>8109</v>
      </c>
      <c r="C2715" t="s">
        <v>13</v>
      </c>
      <c r="E2715" t="s">
        <v>8110</v>
      </c>
      <c r="F2715">
        <v>4900</v>
      </c>
      <c r="G2715" t="s">
        <v>41</v>
      </c>
      <c r="H2715" t="s">
        <v>16</v>
      </c>
      <c r="I2715" t="s">
        <v>854</v>
      </c>
      <c r="J2715" t="s">
        <v>855</v>
      </c>
      <c r="K2715" t="s">
        <v>1809</v>
      </c>
      <c r="L2715" t="str">
        <f>HYPERLINK("https://business-monitor.ch/de/companies/1012614-equasio-ag?utm_source=oberaargau","PROFIL ANSEHEN")</f>
        <v>PROFIL ANSEHEN</v>
      </c>
    </row>
    <row r="2716" spans="1:12" x14ac:dyDescent="0.2">
      <c r="A2716" t="s">
        <v>9805</v>
      </c>
      <c r="B2716" t="s">
        <v>9806</v>
      </c>
      <c r="C2716" t="s">
        <v>1812</v>
      </c>
      <c r="E2716" t="s">
        <v>5803</v>
      </c>
      <c r="F2716">
        <v>3380</v>
      </c>
      <c r="G2716" t="s">
        <v>29</v>
      </c>
      <c r="H2716" t="s">
        <v>16</v>
      </c>
      <c r="I2716" t="s">
        <v>2226</v>
      </c>
      <c r="J2716" t="s">
        <v>2227</v>
      </c>
      <c r="K2716" t="s">
        <v>1809</v>
      </c>
      <c r="L2716" t="str">
        <f>HYPERLINK("https://business-monitor.ch/de/companies/1013190-physiotherapie-sascha-veil?utm_source=oberaargau","PROFIL ANSEHEN")</f>
        <v>PROFIL ANSEHEN</v>
      </c>
    </row>
    <row r="2717" spans="1:12" x14ac:dyDescent="0.2">
      <c r="A2717" t="s">
        <v>7273</v>
      </c>
      <c r="B2717" t="s">
        <v>7274</v>
      </c>
      <c r="C2717" t="s">
        <v>202</v>
      </c>
      <c r="E2717" t="s">
        <v>7275</v>
      </c>
      <c r="F2717">
        <v>4912</v>
      </c>
      <c r="G2717" t="s">
        <v>64</v>
      </c>
      <c r="H2717" t="s">
        <v>16</v>
      </c>
      <c r="I2717" t="s">
        <v>260</v>
      </c>
      <c r="J2717" t="s">
        <v>261</v>
      </c>
      <c r="K2717" t="s">
        <v>1809</v>
      </c>
      <c r="L2717" t="str">
        <f>HYPERLINK("https://business-monitor.ch/de/companies/1014893-beutler-bautech-gmbh?utm_source=oberaargau","PROFIL ANSEHEN")</f>
        <v>PROFIL ANSEHEN</v>
      </c>
    </row>
    <row r="2718" spans="1:12" x14ac:dyDescent="0.2">
      <c r="A2718" t="s">
        <v>4163</v>
      </c>
      <c r="B2718" t="s">
        <v>4164</v>
      </c>
      <c r="C2718" t="s">
        <v>1827</v>
      </c>
      <c r="E2718" t="s">
        <v>4165</v>
      </c>
      <c r="F2718">
        <v>3360</v>
      </c>
      <c r="G2718" t="s">
        <v>35</v>
      </c>
      <c r="H2718" t="s">
        <v>16</v>
      </c>
      <c r="I2718" t="s">
        <v>3003</v>
      </c>
      <c r="J2718" t="s">
        <v>3004</v>
      </c>
      <c r="K2718" t="s">
        <v>1809</v>
      </c>
      <c r="L2718" t="str">
        <f>HYPERLINK("https://business-monitor.ch/de/companies/1014898-fisheep-s-publishing-klg?utm_source=oberaargau","PROFIL ANSEHEN")</f>
        <v>PROFIL ANSEHEN</v>
      </c>
    </row>
    <row r="2719" spans="1:12" x14ac:dyDescent="0.2">
      <c r="A2719" t="s">
        <v>7702</v>
      </c>
      <c r="B2719" t="s">
        <v>3051</v>
      </c>
      <c r="C2719" t="s">
        <v>13</v>
      </c>
      <c r="E2719" t="s">
        <v>3052</v>
      </c>
      <c r="F2719">
        <v>4911</v>
      </c>
      <c r="G2719" t="s">
        <v>1005</v>
      </c>
      <c r="H2719" t="s">
        <v>16</v>
      </c>
      <c r="I2719" t="s">
        <v>917</v>
      </c>
      <c r="J2719" t="s">
        <v>918</v>
      </c>
      <c r="K2719" t="s">
        <v>1809</v>
      </c>
      <c r="L2719" t="str">
        <f>HYPERLINK("https://business-monitor.ch/de/companies/613627-allenspach-greentech-ag?utm_source=oberaargau","PROFIL ANSEHEN")</f>
        <v>PROFIL ANSEHEN</v>
      </c>
    </row>
    <row r="2720" spans="1:12" x14ac:dyDescent="0.2">
      <c r="A2720" t="s">
        <v>6509</v>
      </c>
      <c r="B2720" t="s">
        <v>6510</v>
      </c>
      <c r="C2720" t="s">
        <v>13</v>
      </c>
      <c r="E2720" t="s">
        <v>2969</v>
      </c>
      <c r="F2720">
        <v>4536</v>
      </c>
      <c r="G2720" t="s">
        <v>1395</v>
      </c>
      <c r="H2720" t="s">
        <v>16</v>
      </c>
      <c r="I2720" t="s">
        <v>260</v>
      </c>
      <c r="J2720" t="s">
        <v>261</v>
      </c>
      <c r="K2720" t="s">
        <v>1809</v>
      </c>
      <c r="L2720" t="str">
        <f>HYPERLINK("https://business-monitor.ch/de/companies/243327-patrickpartner-ag?utm_source=oberaargau","PROFIL ANSEHEN")</f>
        <v>PROFIL ANSEHEN</v>
      </c>
    </row>
    <row r="2721" spans="1:12" x14ac:dyDescent="0.2">
      <c r="A2721" t="s">
        <v>3661</v>
      </c>
      <c r="B2721" t="s">
        <v>3662</v>
      </c>
      <c r="C2721" t="s">
        <v>13</v>
      </c>
      <c r="E2721" t="s">
        <v>3663</v>
      </c>
      <c r="F2721">
        <v>4917</v>
      </c>
      <c r="G2721" t="s">
        <v>376</v>
      </c>
      <c r="H2721" t="s">
        <v>16</v>
      </c>
      <c r="I2721" t="s">
        <v>679</v>
      </c>
      <c r="J2721" t="s">
        <v>680</v>
      </c>
      <c r="K2721" t="s">
        <v>1809</v>
      </c>
      <c r="L2721" t="str">
        <f>HYPERLINK("https://business-monitor.ch/de/companies/54430-schreinerei-kunz-ag?utm_source=oberaargau","PROFIL ANSEHEN")</f>
        <v>PROFIL ANSEHEN</v>
      </c>
    </row>
    <row r="2722" spans="1:12" x14ac:dyDescent="0.2">
      <c r="A2722" t="s">
        <v>14036</v>
      </c>
      <c r="B2722" t="s">
        <v>14037</v>
      </c>
      <c r="C2722" t="s">
        <v>1812</v>
      </c>
      <c r="E2722" t="s">
        <v>7193</v>
      </c>
      <c r="F2722">
        <v>3363</v>
      </c>
      <c r="G2722" t="s">
        <v>1367</v>
      </c>
      <c r="H2722" t="s">
        <v>16</v>
      </c>
      <c r="I2722" t="s">
        <v>542</v>
      </c>
      <c r="J2722" t="s">
        <v>543</v>
      </c>
      <c r="K2722" t="s">
        <v>1809</v>
      </c>
      <c r="L2722" t="str">
        <f>HYPERLINK("https://business-monitor.ch/de/companies/1280953-de-cicco-fabio-spenglerei-bedachungen?utm_source=oberaargau","PROFIL ANSEHEN")</f>
        <v>PROFIL ANSEHEN</v>
      </c>
    </row>
    <row r="2723" spans="1:12" x14ac:dyDescent="0.2">
      <c r="A2723" t="s">
        <v>7813</v>
      </c>
      <c r="B2723" t="s">
        <v>7814</v>
      </c>
      <c r="C2723" t="s">
        <v>202</v>
      </c>
      <c r="E2723" t="s">
        <v>7815</v>
      </c>
      <c r="F2723">
        <v>3375</v>
      </c>
      <c r="G2723" t="s">
        <v>667</v>
      </c>
      <c r="H2723" t="s">
        <v>16</v>
      </c>
      <c r="I2723" t="s">
        <v>134</v>
      </c>
      <c r="J2723" t="s">
        <v>135</v>
      </c>
      <c r="K2723" t="s">
        <v>1809</v>
      </c>
      <c r="L2723" t="str">
        <f>HYPERLINK("https://business-monitor.ch/de/companies/540354-ltn-leitungsnetz-gmbh?utm_source=oberaargau","PROFIL ANSEHEN")</f>
        <v>PROFIL ANSEHEN</v>
      </c>
    </row>
    <row r="2724" spans="1:12" x14ac:dyDescent="0.2">
      <c r="A2724" t="s">
        <v>4009</v>
      </c>
      <c r="B2724" t="s">
        <v>4010</v>
      </c>
      <c r="C2724" t="s">
        <v>13</v>
      </c>
      <c r="E2724" t="s">
        <v>4011</v>
      </c>
      <c r="F2724">
        <v>3360</v>
      </c>
      <c r="G2724" t="s">
        <v>35</v>
      </c>
      <c r="H2724" t="s">
        <v>16</v>
      </c>
      <c r="I2724" t="s">
        <v>182</v>
      </c>
      <c r="J2724" t="s">
        <v>183</v>
      </c>
      <c r="K2724" t="s">
        <v>1809</v>
      </c>
      <c r="L2724" t="str">
        <f>HYPERLINK("https://business-monitor.ch/de/companies/634840-pascal-ruf-holding-ag?utm_source=oberaargau","PROFIL ANSEHEN")</f>
        <v>PROFIL ANSEHEN</v>
      </c>
    </row>
    <row r="2725" spans="1:12" x14ac:dyDescent="0.2">
      <c r="A2725" t="s">
        <v>13700</v>
      </c>
      <c r="B2725" t="s">
        <v>13701</v>
      </c>
      <c r="C2725" t="s">
        <v>1812</v>
      </c>
      <c r="E2725" t="s">
        <v>3138</v>
      </c>
      <c r="F2725">
        <v>4537</v>
      </c>
      <c r="G2725" t="s">
        <v>113</v>
      </c>
      <c r="H2725" t="s">
        <v>16</v>
      </c>
      <c r="I2725" t="s">
        <v>196</v>
      </c>
      <c r="J2725" t="s">
        <v>197</v>
      </c>
      <c r="K2725" t="s">
        <v>1809</v>
      </c>
      <c r="L2725" t="str">
        <f>HYPERLINK("https://business-monitor.ch/de/companies/1259282-huser-bau-und-transport?utm_source=oberaargau","PROFIL ANSEHEN")</f>
        <v>PROFIL ANSEHEN</v>
      </c>
    </row>
    <row r="2726" spans="1:12" x14ac:dyDescent="0.2">
      <c r="A2726" t="s">
        <v>9413</v>
      </c>
      <c r="B2726" t="s">
        <v>9414</v>
      </c>
      <c r="C2726" t="s">
        <v>13</v>
      </c>
      <c r="E2726" t="s">
        <v>5440</v>
      </c>
      <c r="F2726">
        <v>4912</v>
      </c>
      <c r="G2726" t="s">
        <v>64</v>
      </c>
      <c r="H2726" t="s">
        <v>16</v>
      </c>
      <c r="I2726" t="s">
        <v>186</v>
      </c>
      <c r="J2726" t="s">
        <v>187</v>
      </c>
      <c r="K2726" t="s">
        <v>1809</v>
      </c>
      <c r="L2726" t="str">
        <f>HYPERLINK("https://business-monitor.ch/de/companies/30424-bodacher-ag?utm_source=oberaargau","PROFIL ANSEHEN")</f>
        <v>PROFIL ANSEHEN</v>
      </c>
    </row>
    <row r="2727" spans="1:12" x14ac:dyDescent="0.2">
      <c r="A2727" t="s">
        <v>5470</v>
      </c>
      <c r="B2727" t="s">
        <v>5471</v>
      </c>
      <c r="C2727" t="s">
        <v>1812</v>
      </c>
      <c r="F2727">
        <v>3464</v>
      </c>
      <c r="G2727" t="s">
        <v>3044</v>
      </c>
      <c r="H2727" t="s">
        <v>16</v>
      </c>
      <c r="I2727" t="s">
        <v>662</v>
      </c>
      <c r="J2727" t="s">
        <v>663</v>
      </c>
      <c r="K2727" t="s">
        <v>1809</v>
      </c>
      <c r="L2727" t="str">
        <f>HYPERLINK("https://business-monitor.ch/de/companies/176735-stefan-janssen?utm_source=oberaargau","PROFIL ANSEHEN")</f>
        <v>PROFIL ANSEHEN</v>
      </c>
    </row>
    <row r="2728" spans="1:12" x14ac:dyDescent="0.2">
      <c r="A2728" t="s">
        <v>13647</v>
      </c>
      <c r="B2728" t="s">
        <v>13648</v>
      </c>
      <c r="C2728" t="s">
        <v>1812</v>
      </c>
      <c r="E2728" t="s">
        <v>1329</v>
      </c>
      <c r="F2728">
        <v>3373</v>
      </c>
      <c r="G2728" t="s">
        <v>2697</v>
      </c>
      <c r="H2728" t="s">
        <v>16</v>
      </c>
      <c r="I2728" t="s">
        <v>997</v>
      </c>
      <c r="J2728" t="s">
        <v>998</v>
      </c>
      <c r="K2728" t="s">
        <v>1809</v>
      </c>
      <c r="L2728" t="str">
        <f>HYPERLINK("https://business-monitor.ch/de/companies/1258907-zweirad-wyss?utm_source=oberaargau","PROFIL ANSEHEN")</f>
        <v>PROFIL ANSEHEN</v>
      </c>
    </row>
    <row r="2729" spans="1:12" x14ac:dyDescent="0.2">
      <c r="A2729" t="s">
        <v>13733</v>
      </c>
      <c r="B2729" t="s">
        <v>13734</v>
      </c>
      <c r="C2729" t="s">
        <v>1812</v>
      </c>
      <c r="E2729" t="s">
        <v>2838</v>
      </c>
      <c r="F2729">
        <v>4900</v>
      </c>
      <c r="G2729" t="s">
        <v>41</v>
      </c>
      <c r="H2729" t="s">
        <v>16</v>
      </c>
      <c r="I2729" t="s">
        <v>2622</v>
      </c>
      <c r="J2729" t="s">
        <v>2623</v>
      </c>
      <c r="K2729" t="s">
        <v>1809</v>
      </c>
      <c r="L2729" t="str">
        <f>HYPERLINK("https://business-monitor.ch/de/companies/1259123-szczepkowski-autozubehoer?utm_source=oberaargau","PROFIL ANSEHEN")</f>
        <v>PROFIL ANSEHEN</v>
      </c>
    </row>
    <row r="2730" spans="1:12" x14ac:dyDescent="0.2">
      <c r="A2730" t="s">
        <v>7069</v>
      </c>
      <c r="B2730" t="s">
        <v>7070</v>
      </c>
      <c r="C2730" t="s">
        <v>202</v>
      </c>
      <c r="E2730" t="s">
        <v>11721</v>
      </c>
      <c r="F2730">
        <v>4900</v>
      </c>
      <c r="G2730" t="s">
        <v>41</v>
      </c>
      <c r="H2730" t="s">
        <v>16</v>
      </c>
      <c r="I2730" t="s">
        <v>144</v>
      </c>
      <c r="J2730" t="s">
        <v>145</v>
      </c>
      <c r="K2730" t="s">
        <v>1809</v>
      </c>
      <c r="L2730" t="str">
        <f>HYPERLINK("https://business-monitor.ch/de/companies/692990-gartenfeuer-ch-gmbh?utm_source=oberaargau","PROFIL ANSEHEN")</f>
        <v>PROFIL ANSEHEN</v>
      </c>
    </row>
    <row r="2731" spans="1:12" x14ac:dyDescent="0.2">
      <c r="A2731" t="s">
        <v>396</v>
      </c>
      <c r="B2731" t="s">
        <v>397</v>
      </c>
      <c r="C2731" t="s">
        <v>13</v>
      </c>
      <c r="E2731" t="s">
        <v>2980</v>
      </c>
      <c r="F2731">
        <v>4932</v>
      </c>
      <c r="G2731" t="s">
        <v>325</v>
      </c>
      <c r="H2731" t="s">
        <v>16</v>
      </c>
      <c r="I2731" t="s">
        <v>398</v>
      </c>
      <c r="J2731" t="s">
        <v>399</v>
      </c>
      <c r="K2731" t="s">
        <v>1809</v>
      </c>
      <c r="L2731" t="str">
        <f>HYPERLINK("https://business-monitor.ch/de/companies/171589-thomi-co-ag?utm_source=oberaargau","PROFIL ANSEHEN")</f>
        <v>PROFIL ANSEHEN</v>
      </c>
    </row>
    <row r="2732" spans="1:12" x14ac:dyDescent="0.2">
      <c r="A2732" t="s">
        <v>11850</v>
      </c>
      <c r="B2732" t="s">
        <v>11851</v>
      </c>
      <c r="C2732" t="s">
        <v>202</v>
      </c>
      <c r="E2732" t="s">
        <v>11852</v>
      </c>
      <c r="F2732">
        <v>4912</v>
      </c>
      <c r="G2732" t="s">
        <v>64</v>
      </c>
      <c r="H2732" t="s">
        <v>16</v>
      </c>
      <c r="I2732" t="s">
        <v>3493</v>
      </c>
      <c r="J2732" t="s">
        <v>3494</v>
      </c>
      <c r="K2732" t="s">
        <v>1809</v>
      </c>
      <c r="L2732" t="str">
        <f>HYPERLINK("https://business-monitor.ch/de/companies/704746-gri-golden-rule-investment-gmbh?utm_source=oberaargau","PROFIL ANSEHEN")</f>
        <v>PROFIL ANSEHEN</v>
      </c>
    </row>
    <row r="2733" spans="1:12" x14ac:dyDescent="0.2">
      <c r="A2733" t="s">
        <v>4133</v>
      </c>
      <c r="B2733" t="s">
        <v>4134</v>
      </c>
      <c r="C2733" t="s">
        <v>202</v>
      </c>
      <c r="D2733" t="s">
        <v>14177</v>
      </c>
      <c r="E2733" t="s">
        <v>3176</v>
      </c>
      <c r="F2733">
        <v>4932</v>
      </c>
      <c r="G2733" t="s">
        <v>2036</v>
      </c>
      <c r="H2733" t="s">
        <v>16</v>
      </c>
      <c r="I2733" t="s">
        <v>1319</v>
      </c>
      <c r="J2733" t="s">
        <v>1320</v>
      </c>
      <c r="K2733" t="s">
        <v>1809</v>
      </c>
      <c r="L2733" t="str">
        <f>HYPERLINK("https://business-monitor.ch/de/companies/1029047-daniel-beer-entsorgungen-gmbh?utm_source=oberaargau","PROFIL ANSEHEN")</f>
        <v>PROFIL ANSEHEN</v>
      </c>
    </row>
    <row r="2734" spans="1:12" x14ac:dyDescent="0.2">
      <c r="A2734" t="s">
        <v>10318</v>
      </c>
      <c r="B2734" t="s">
        <v>10319</v>
      </c>
      <c r="C2734" t="s">
        <v>202</v>
      </c>
      <c r="E2734" t="s">
        <v>10320</v>
      </c>
      <c r="F2734">
        <v>4536</v>
      </c>
      <c r="G2734" t="s">
        <v>1395</v>
      </c>
      <c r="H2734" t="s">
        <v>16</v>
      </c>
      <c r="I2734" t="s">
        <v>2748</v>
      </c>
      <c r="J2734" t="s">
        <v>2749</v>
      </c>
      <c r="K2734" t="s">
        <v>1809</v>
      </c>
      <c r="L2734" t="str">
        <f>HYPERLINK("https://business-monitor.ch/de/companies/551733-christa-balzer-gmbh?utm_source=oberaargau","PROFIL ANSEHEN")</f>
        <v>PROFIL ANSEHEN</v>
      </c>
    </row>
    <row r="2735" spans="1:12" x14ac:dyDescent="0.2">
      <c r="A2735" t="s">
        <v>14548</v>
      </c>
      <c r="B2735" t="s">
        <v>14549</v>
      </c>
      <c r="C2735" t="s">
        <v>1812</v>
      </c>
      <c r="E2735" t="s">
        <v>14550</v>
      </c>
      <c r="F2735">
        <v>4932</v>
      </c>
      <c r="G2735" t="s">
        <v>325</v>
      </c>
      <c r="H2735" t="s">
        <v>16</v>
      </c>
      <c r="I2735" t="s">
        <v>570</v>
      </c>
      <c r="J2735" t="s">
        <v>571</v>
      </c>
      <c r="K2735" t="s">
        <v>1809</v>
      </c>
      <c r="L2735" t="str">
        <f>HYPERLINK("https://business-monitor.ch/de/companies/1296774-miran-haustechnik-inh-stanek?utm_source=oberaargau","PROFIL ANSEHEN")</f>
        <v>PROFIL ANSEHEN</v>
      </c>
    </row>
    <row r="2736" spans="1:12" x14ac:dyDescent="0.2">
      <c r="A2736" t="s">
        <v>14262</v>
      </c>
      <c r="B2736" t="s">
        <v>14054</v>
      </c>
      <c r="C2736" t="s">
        <v>1812</v>
      </c>
      <c r="E2736" t="s">
        <v>14055</v>
      </c>
      <c r="F2736">
        <v>3360</v>
      </c>
      <c r="G2736" t="s">
        <v>35</v>
      </c>
      <c r="H2736" t="s">
        <v>16</v>
      </c>
      <c r="I2736" t="s">
        <v>2315</v>
      </c>
      <c r="J2736" t="s">
        <v>2316</v>
      </c>
      <c r="K2736" t="s">
        <v>1809</v>
      </c>
      <c r="L2736" t="str">
        <f>HYPERLINK("https://business-monitor.ch/de/companies/1283319-viehhandel-zaugg?utm_source=oberaargau","PROFIL ANSEHEN")</f>
        <v>PROFIL ANSEHEN</v>
      </c>
    </row>
    <row r="2737" spans="1:12" x14ac:dyDescent="0.2">
      <c r="A2737" t="s">
        <v>12786</v>
      </c>
      <c r="B2737" t="s">
        <v>12787</v>
      </c>
      <c r="C2737" t="s">
        <v>13</v>
      </c>
      <c r="E2737" t="s">
        <v>12788</v>
      </c>
      <c r="F2737">
        <v>4900</v>
      </c>
      <c r="G2737" t="s">
        <v>41</v>
      </c>
      <c r="H2737" t="s">
        <v>16</v>
      </c>
      <c r="I2737" t="s">
        <v>186</v>
      </c>
      <c r="J2737" t="s">
        <v>187</v>
      </c>
      <c r="K2737" t="s">
        <v>1809</v>
      </c>
      <c r="L2737" t="str">
        <f>HYPERLINK("https://business-monitor.ch/de/companies/1228025-sahin-holding-ag?utm_source=oberaargau","PROFIL ANSEHEN")</f>
        <v>PROFIL ANSEHEN</v>
      </c>
    </row>
    <row r="2738" spans="1:12" x14ac:dyDescent="0.2">
      <c r="A2738" t="s">
        <v>10180</v>
      </c>
      <c r="B2738" t="s">
        <v>10181</v>
      </c>
      <c r="C2738" t="s">
        <v>13</v>
      </c>
      <c r="E2738" t="s">
        <v>2804</v>
      </c>
      <c r="F2738">
        <v>3362</v>
      </c>
      <c r="G2738" t="s">
        <v>47</v>
      </c>
      <c r="H2738" t="s">
        <v>16</v>
      </c>
      <c r="I2738" t="s">
        <v>331</v>
      </c>
      <c r="J2738" t="s">
        <v>332</v>
      </c>
      <c r="K2738" t="s">
        <v>1809</v>
      </c>
      <c r="L2738" t="str">
        <f>HYPERLINK("https://business-monitor.ch/de/companies/636561-usodec-ag?utm_source=oberaargau","PROFIL ANSEHEN")</f>
        <v>PROFIL ANSEHEN</v>
      </c>
    </row>
    <row r="2739" spans="1:12" x14ac:dyDescent="0.2">
      <c r="A2739" t="s">
        <v>8271</v>
      </c>
      <c r="B2739" t="s">
        <v>8272</v>
      </c>
      <c r="C2739" t="s">
        <v>202</v>
      </c>
      <c r="E2739" t="s">
        <v>8273</v>
      </c>
      <c r="F2739">
        <v>4538</v>
      </c>
      <c r="G2739" t="s">
        <v>71</v>
      </c>
      <c r="H2739" t="s">
        <v>16</v>
      </c>
      <c r="I2739" t="s">
        <v>733</v>
      </c>
      <c r="J2739" t="s">
        <v>734</v>
      </c>
      <c r="K2739" t="s">
        <v>1809</v>
      </c>
      <c r="L2739" t="str">
        <f>HYPERLINK("https://business-monitor.ch/de/companies/110483-oehrli-schaer-nutzfahrzeuge-gmbh?utm_source=oberaargau","PROFIL ANSEHEN")</f>
        <v>PROFIL ANSEHEN</v>
      </c>
    </row>
    <row r="2740" spans="1:12" x14ac:dyDescent="0.2">
      <c r="A2740" t="s">
        <v>6850</v>
      </c>
      <c r="B2740" t="s">
        <v>6851</v>
      </c>
      <c r="C2740" t="s">
        <v>84</v>
      </c>
      <c r="E2740" t="s">
        <v>5495</v>
      </c>
      <c r="F2740">
        <v>4900</v>
      </c>
      <c r="G2740" t="s">
        <v>41</v>
      </c>
      <c r="H2740" t="s">
        <v>16</v>
      </c>
      <c r="I2740" t="s">
        <v>906</v>
      </c>
      <c r="J2740" t="s">
        <v>907</v>
      </c>
      <c r="K2740" t="s">
        <v>1809</v>
      </c>
      <c r="L2740" t="str">
        <f>HYPERLINK("https://business-monitor.ch/de/companies/55912-wohnbaugenossenschaft-jura?utm_source=oberaargau","PROFIL ANSEHEN")</f>
        <v>PROFIL ANSEHEN</v>
      </c>
    </row>
    <row r="2741" spans="1:12" x14ac:dyDescent="0.2">
      <c r="A2741" t="s">
        <v>7847</v>
      </c>
      <c r="B2741" t="s">
        <v>7848</v>
      </c>
      <c r="C2741" t="s">
        <v>13</v>
      </c>
      <c r="E2741" t="s">
        <v>7849</v>
      </c>
      <c r="F2741">
        <v>3360</v>
      </c>
      <c r="G2741" t="s">
        <v>35</v>
      </c>
      <c r="H2741" t="s">
        <v>16</v>
      </c>
      <c r="I2741" t="s">
        <v>1562</v>
      </c>
      <c r="J2741" t="s">
        <v>1563</v>
      </c>
      <c r="K2741" t="s">
        <v>1809</v>
      </c>
      <c r="L2741" t="str">
        <f>HYPERLINK("https://business-monitor.ch/de/companies/74956-schwarz-ag?utm_source=oberaargau","PROFIL ANSEHEN")</f>
        <v>PROFIL ANSEHEN</v>
      </c>
    </row>
    <row r="2742" spans="1:12" x14ac:dyDescent="0.2">
      <c r="A2742" t="s">
        <v>3819</v>
      </c>
      <c r="B2742" t="s">
        <v>3820</v>
      </c>
      <c r="C2742" t="s">
        <v>1812</v>
      </c>
      <c r="E2742" t="s">
        <v>11096</v>
      </c>
      <c r="F2742">
        <v>3380</v>
      </c>
      <c r="G2742" t="s">
        <v>29</v>
      </c>
      <c r="H2742" t="s">
        <v>16</v>
      </c>
      <c r="I2742" t="s">
        <v>748</v>
      </c>
      <c r="J2742" t="s">
        <v>749</v>
      </c>
      <c r="K2742" t="s">
        <v>1809</v>
      </c>
      <c r="L2742" t="str">
        <f>HYPERLINK("https://business-monitor.ch/de/companies/602091-malerei-wagner?utm_source=oberaargau","PROFIL ANSEHEN")</f>
        <v>PROFIL ANSEHEN</v>
      </c>
    </row>
    <row r="2743" spans="1:12" x14ac:dyDescent="0.2">
      <c r="A2743" t="s">
        <v>10412</v>
      </c>
      <c r="B2743" t="s">
        <v>10413</v>
      </c>
      <c r="C2743" t="s">
        <v>1812</v>
      </c>
      <c r="E2743" t="s">
        <v>2331</v>
      </c>
      <c r="F2743">
        <v>4932</v>
      </c>
      <c r="G2743" t="s">
        <v>325</v>
      </c>
      <c r="H2743" t="s">
        <v>16</v>
      </c>
      <c r="I2743" t="s">
        <v>642</v>
      </c>
      <c r="J2743" t="s">
        <v>643</v>
      </c>
      <c r="K2743" t="s">
        <v>1809</v>
      </c>
      <c r="L2743" t="str">
        <f>HYPERLINK("https://business-monitor.ch/de/companies/497426-garage-luethi?utm_source=oberaargau","PROFIL ANSEHEN")</f>
        <v>PROFIL ANSEHEN</v>
      </c>
    </row>
    <row r="2744" spans="1:12" x14ac:dyDescent="0.2">
      <c r="A2744" t="s">
        <v>14551</v>
      </c>
      <c r="B2744" t="s">
        <v>14552</v>
      </c>
      <c r="C2744" t="s">
        <v>13</v>
      </c>
      <c r="E2744" t="s">
        <v>14410</v>
      </c>
      <c r="F2744">
        <v>4913</v>
      </c>
      <c r="G2744" t="s">
        <v>207</v>
      </c>
      <c r="H2744" t="s">
        <v>16</v>
      </c>
      <c r="I2744" t="s">
        <v>186</v>
      </c>
      <c r="J2744" t="s">
        <v>187</v>
      </c>
      <c r="K2744" t="s">
        <v>1809</v>
      </c>
      <c r="L2744" t="str">
        <f>HYPERLINK("https://business-monitor.ch/de/companies/1174040-v-l-group-ag?utm_source=oberaargau","PROFIL ANSEHEN")</f>
        <v>PROFIL ANSEHEN</v>
      </c>
    </row>
    <row r="2745" spans="1:12" x14ac:dyDescent="0.2">
      <c r="A2745" t="s">
        <v>12410</v>
      </c>
      <c r="B2745" t="s">
        <v>12411</v>
      </c>
      <c r="C2745" t="s">
        <v>1812</v>
      </c>
      <c r="E2745" t="s">
        <v>4108</v>
      </c>
      <c r="F2745">
        <v>4537</v>
      </c>
      <c r="G2745" t="s">
        <v>113</v>
      </c>
      <c r="H2745" t="s">
        <v>16</v>
      </c>
      <c r="I2745" t="s">
        <v>3864</v>
      </c>
      <c r="J2745" t="s">
        <v>3865</v>
      </c>
      <c r="K2745" t="s">
        <v>1809</v>
      </c>
      <c r="L2745" t="str">
        <f>HYPERLINK("https://business-monitor.ch/de/companies/1090339-muehlemann-the-composer?utm_source=oberaargau","PROFIL ANSEHEN")</f>
        <v>PROFIL ANSEHEN</v>
      </c>
    </row>
    <row r="2746" spans="1:12" x14ac:dyDescent="0.2">
      <c r="A2746" t="s">
        <v>2611</v>
      </c>
      <c r="B2746" t="s">
        <v>2612</v>
      </c>
      <c r="C2746" t="s">
        <v>13</v>
      </c>
      <c r="E2746" t="s">
        <v>2613</v>
      </c>
      <c r="F2746">
        <v>4704</v>
      </c>
      <c r="G2746" t="s">
        <v>221</v>
      </c>
      <c r="H2746" t="s">
        <v>16</v>
      </c>
      <c r="I2746" t="s">
        <v>2614</v>
      </c>
      <c r="J2746" t="s">
        <v>2615</v>
      </c>
      <c r="K2746" t="s">
        <v>1809</v>
      </c>
      <c r="L2746" t="str">
        <f>HYPERLINK("https://business-monitor.ch/de/companies/502066-nomis-ag?utm_source=oberaargau","PROFIL ANSEHEN")</f>
        <v>PROFIL ANSEHEN</v>
      </c>
    </row>
    <row r="2747" spans="1:12" x14ac:dyDescent="0.2">
      <c r="A2747" t="s">
        <v>725</v>
      </c>
      <c r="B2747" t="s">
        <v>726</v>
      </c>
      <c r="C2747" t="s">
        <v>13</v>
      </c>
      <c r="E2747" t="s">
        <v>727</v>
      </c>
      <c r="F2747">
        <v>3366</v>
      </c>
      <c r="G2747" t="s">
        <v>728</v>
      </c>
      <c r="H2747" t="s">
        <v>16</v>
      </c>
      <c r="I2747" t="s">
        <v>391</v>
      </c>
      <c r="J2747" t="s">
        <v>392</v>
      </c>
      <c r="K2747" t="s">
        <v>1809</v>
      </c>
      <c r="L2747" t="str">
        <f>HYPERLINK("https://business-monitor.ch/de/companies/57510-hans-rhyn-ag?utm_source=oberaargau","PROFIL ANSEHEN")</f>
        <v>PROFIL ANSEHEN</v>
      </c>
    </row>
    <row r="2748" spans="1:12" x14ac:dyDescent="0.2">
      <c r="A2748" t="s">
        <v>7062</v>
      </c>
      <c r="B2748" t="s">
        <v>7063</v>
      </c>
      <c r="C2748" t="s">
        <v>13</v>
      </c>
      <c r="E2748" t="s">
        <v>1752</v>
      </c>
      <c r="F2748">
        <v>4537</v>
      </c>
      <c r="G2748" t="s">
        <v>113</v>
      </c>
      <c r="H2748" t="s">
        <v>16</v>
      </c>
      <c r="I2748" t="s">
        <v>551</v>
      </c>
      <c r="J2748" t="s">
        <v>552</v>
      </c>
      <c r="K2748" t="s">
        <v>1809</v>
      </c>
      <c r="L2748" t="str">
        <f>HYPERLINK("https://business-monitor.ch/de/companies/531789-kmu-dienste-krenger-ag?utm_source=oberaargau","PROFIL ANSEHEN")</f>
        <v>PROFIL ANSEHEN</v>
      </c>
    </row>
    <row r="2749" spans="1:12" x14ac:dyDescent="0.2">
      <c r="A2749" t="s">
        <v>7833</v>
      </c>
      <c r="B2749" t="s">
        <v>7834</v>
      </c>
      <c r="C2749" t="s">
        <v>202</v>
      </c>
      <c r="E2749" t="s">
        <v>7835</v>
      </c>
      <c r="F2749">
        <v>3365</v>
      </c>
      <c r="G2749" t="s">
        <v>2390</v>
      </c>
      <c r="H2749" t="s">
        <v>16</v>
      </c>
      <c r="I2749" t="s">
        <v>1716</v>
      </c>
      <c r="J2749" t="s">
        <v>1717</v>
      </c>
      <c r="K2749" t="s">
        <v>1809</v>
      </c>
      <c r="L2749" t="str">
        <f>HYPERLINK("https://business-monitor.ch/de/companies/532961-gueegi-quell-gmbh?utm_source=oberaargau","PROFIL ANSEHEN")</f>
        <v>PROFIL ANSEHEN</v>
      </c>
    </row>
    <row r="2750" spans="1:12" x14ac:dyDescent="0.2">
      <c r="A2750" t="s">
        <v>12998</v>
      </c>
      <c r="B2750" t="s">
        <v>12999</v>
      </c>
      <c r="C2750" t="s">
        <v>1812</v>
      </c>
      <c r="E2750" t="s">
        <v>7519</v>
      </c>
      <c r="F2750">
        <v>3374</v>
      </c>
      <c r="G2750" t="s">
        <v>894</v>
      </c>
      <c r="H2750" t="s">
        <v>16</v>
      </c>
      <c r="I2750" t="s">
        <v>1860</v>
      </c>
      <c r="J2750" t="s">
        <v>1861</v>
      </c>
      <c r="K2750" t="s">
        <v>1809</v>
      </c>
      <c r="L2750" t="str">
        <f>HYPERLINK("https://business-monitor.ch/de/companies/1228918-coiffure-meyer-inhaberin-fabienne-schneider?utm_source=oberaargau","PROFIL ANSEHEN")</f>
        <v>PROFIL ANSEHEN</v>
      </c>
    </row>
    <row r="2751" spans="1:12" x14ac:dyDescent="0.2">
      <c r="A2751" t="s">
        <v>13179</v>
      </c>
      <c r="B2751" t="s">
        <v>13180</v>
      </c>
      <c r="C2751" t="s">
        <v>202</v>
      </c>
      <c r="E2751" t="s">
        <v>13181</v>
      </c>
      <c r="F2751">
        <v>3374</v>
      </c>
      <c r="G2751" t="s">
        <v>894</v>
      </c>
      <c r="H2751" t="s">
        <v>16</v>
      </c>
      <c r="I2751" t="s">
        <v>679</v>
      </c>
      <c r="J2751" t="s">
        <v>680</v>
      </c>
      <c r="K2751" t="s">
        <v>1809</v>
      </c>
      <c r="L2751" t="str">
        <f>HYPERLINK("https://business-monitor.ch/de/companies/1228996-liechti-schreinerarbeiten-gmbh?utm_source=oberaargau","PROFIL ANSEHEN")</f>
        <v>PROFIL ANSEHEN</v>
      </c>
    </row>
    <row r="2752" spans="1:12" x14ac:dyDescent="0.2">
      <c r="A2752" t="s">
        <v>7149</v>
      </c>
      <c r="B2752" t="s">
        <v>7150</v>
      </c>
      <c r="C2752" t="s">
        <v>2178</v>
      </c>
      <c r="E2752" t="s">
        <v>1146</v>
      </c>
      <c r="F2752">
        <v>3360</v>
      </c>
      <c r="G2752" t="s">
        <v>35</v>
      </c>
      <c r="H2752" t="s">
        <v>16</v>
      </c>
      <c r="I2752" t="s">
        <v>1422</v>
      </c>
      <c r="J2752" t="s">
        <v>1423</v>
      </c>
      <c r="K2752" t="s">
        <v>1809</v>
      </c>
      <c r="L2752" t="str">
        <f>HYPERLINK("https://business-monitor.ch/de/companies/557252-schenker-storen-ag?utm_source=oberaargau","PROFIL ANSEHEN")</f>
        <v>PROFIL ANSEHEN</v>
      </c>
    </row>
    <row r="2753" spans="1:12" x14ac:dyDescent="0.2">
      <c r="A2753" t="s">
        <v>4786</v>
      </c>
      <c r="B2753" t="s">
        <v>4787</v>
      </c>
      <c r="C2753" t="s">
        <v>202</v>
      </c>
      <c r="E2753" t="s">
        <v>4788</v>
      </c>
      <c r="F2753">
        <v>3360</v>
      </c>
      <c r="G2753" t="s">
        <v>35</v>
      </c>
      <c r="H2753" t="s">
        <v>16</v>
      </c>
      <c r="I2753" t="s">
        <v>1401</v>
      </c>
      <c r="J2753" t="s">
        <v>1402</v>
      </c>
      <c r="K2753" t="s">
        <v>1809</v>
      </c>
      <c r="L2753" t="str">
        <f>HYPERLINK("https://business-monitor.ch/de/companies/562416-blumen-graf-gmbh?utm_source=oberaargau","PROFIL ANSEHEN")</f>
        <v>PROFIL ANSEHEN</v>
      </c>
    </row>
    <row r="2754" spans="1:12" x14ac:dyDescent="0.2">
      <c r="A2754" t="s">
        <v>13642</v>
      </c>
      <c r="B2754" t="s">
        <v>13643</v>
      </c>
      <c r="C2754" t="s">
        <v>202</v>
      </c>
      <c r="E2754" t="s">
        <v>7322</v>
      </c>
      <c r="F2754">
        <v>3373</v>
      </c>
      <c r="G2754" t="s">
        <v>2429</v>
      </c>
      <c r="H2754" t="s">
        <v>16</v>
      </c>
      <c r="I2754" t="s">
        <v>748</v>
      </c>
      <c r="J2754" t="s">
        <v>749</v>
      </c>
      <c r="K2754" t="s">
        <v>1809</v>
      </c>
      <c r="L2754" t="str">
        <f>HYPERLINK("https://business-monitor.ch/de/companies/1268097-malerei-bigler-gmbh?utm_source=oberaargau","PROFIL ANSEHEN")</f>
        <v>PROFIL ANSEHEN</v>
      </c>
    </row>
    <row r="2755" spans="1:12" x14ac:dyDescent="0.2">
      <c r="A2755" t="s">
        <v>10754</v>
      </c>
      <c r="B2755" t="s">
        <v>10755</v>
      </c>
      <c r="C2755" t="s">
        <v>1812</v>
      </c>
      <c r="E2755" t="s">
        <v>10756</v>
      </c>
      <c r="F2755">
        <v>4934</v>
      </c>
      <c r="G2755" t="s">
        <v>670</v>
      </c>
      <c r="H2755" t="s">
        <v>16</v>
      </c>
      <c r="I2755" t="s">
        <v>1841</v>
      </c>
      <c r="J2755" t="s">
        <v>1842</v>
      </c>
      <c r="K2755" t="s">
        <v>1809</v>
      </c>
      <c r="L2755" t="str">
        <f>HYPERLINK("https://business-monitor.ch/de/companies/1096282-nadja-roethlisberger-praxis-raum-und-zeit?utm_source=oberaargau","PROFIL ANSEHEN")</f>
        <v>PROFIL ANSEHEN</v>
      </c>
    </row>
    <row r="2756" spans="1:12" x14ac:dyDescent="0.2">
      <c r="A2756" t="s">
        <v>13546</v>
      </c>
      <c r="B2756" t="s">
        <v>13547</v>
      </c>
      <c r="C2756" t="s">
        <v>202</v>
      </c>
      <c r="E2756" t="s">
        <v>13548</v>
      </c>
      <c r="F2756">
        <v>4934</v>
      </c>
      <c r="G2756" t="s">
        <v>670</v>
      </c>
      <c r="H2756" t="s">
        <v>16</v>
      </c>
      <c r="I2756" t="s">
        <v>570</v>
      </c>
      <c r="J2756" t="s">
        <v>571</v>
      </c>
      <c r="K2756" t="s">
        <v>1809</v>
      </c>
      <c r="L2756" t="str">
        <f>HYPERLINK("https://business-monitor.ch/de/companies/1268148-chillertec-gmbh?utm_source=oberaargau","PROFIL ANSEHEN")</f>
        <v>PROFIL ANSEHEN</v>
      </c>
    </row>
    <row r="2757" spans="1:12" x14ac:dyDescent="0.2">
      <c r="A2757" t="s">
        <v>13644</v>
      </c>
      <c r="B2757" t="s">
        <v>13645</v>
      </c>
      <c r="C2757" t="s">
        <v>202</v>
      </c>
      <c r="E2757" t="s">
        <v>13646</v>
      </c>
      <c r="F2757">
        <v>4704</v>
      </c>
      <c r="G2757" t="s">
        <v>221</v>
      </c>
      <c r="H2757" t="s">
        <v>16</v>
      </c>
      <c r="I2757" t="s">
        <v>1267</v>
      </c>
      <c r="J2757" t="s">
        <v>1268</v>
      </c>
      <c r="K2757" t="s">
        <v>1809</v>
      </c>
      <c r="L2757" t="str">
        <f>HYPERLINK("https://business-monitor.ch/de/companies/1268115-eweb-trading-gmbh?utm_source=oberaargau","PROFIL ANSEHEN")</f>
        <v>PROFIL ANSEHEN</v>
      </c>
    </row>
    <row r="2758" spans="1:12" x14ac:dyDescent="0.2">
      <c r="A2758" t="s">
        <v>4828</v>
      </c>
      <c r="B2758" t="s">
        <v>4829</v>
      </c>
      <c r="C2758" t="s">
        <v>13</v>
      </c>
      <c r="E2758" t="s">
        <v>4830</v>
      </c>
      <c r="F2758">
        <v>4704</v>
      </c>
      <c r="G2758" t="s">
        <v>221</v>
      </c>
      <c r="H2758" t="s">
        <v>16</v>
      </c>
      <c r="I2758" t="s">
        <v>624</v>
      </c>
      <c r="J2758" t="s">
        <v>625</v>
      </c>
      <c r="K2758" t="s">
        <v>1809</v>
      </c>
      <c r="L2758" t="str">
        <f>HYPERLINK("https://business-monitor.ch/de/companies/545445-ryf-holzbau-bedachungen-ag?utm_source=oberaargau","PROFIL ANSEHEN")</f>
        <v>PROFIL ANSEHEN</v>
      </c>
    </row>
    <row r="2759" spans="1:12" x14ac:dyDescent="0.2">
      <c r="A2759" t="s">
        <v>12920</v>
      </c>
      <c r="B2759" t="s">
        <v>12921</v>
      </c>
      <c r="C2759" t="s">
        <v>1812</v>
      </c>
      <c r="E2759" t="s">
        <v>1929</v>
      </c>
      <c r="F2759">
        <v>3360</v>
      </c>
      <c r="G2759" t="s">
        <v>35</v>
      </c>
      <c r="H2759" t="s">
        <v>16</v>
      </c>
      <c r="I2759" t="s">
        <v>1860</v>
      </c>
      <c r="J2759" t="s">
        <v>1861</v>
      </c>
      <c r="K2759" t="s">
        <v>1809</v>
      </c>
      <c r="L2759" t="str">
        <f>HYPERLINK("https://business-monitor.ch/de/companies/1224015-ary-coiffeur-inh-hassan?utm_source=oberaargau","PROFIL ANSEHEN")</f>
        <v>PROFIL ANSEHEN</v>
      </c>
    </row>
    <row r="2760" spans="1:12" x14ac:dyDescent="0.2">
      <c r="A2760" t="s">
        <v>7283</v>
      </c>
      <c r="B2760" t="s">
        <v>7284</v>
      </c>
      <c r="C2760" t="s">
        <v>202</v>
      </c>
      <c r="E2760" t="s">
        <v>7285</v>
      </c>
      <c r="F2760">
        <v>4912</v>
      </c>
      <c r="G2760" t="s">
        <v>64</v>
      </c>
      <c r="H2760" t="s">
        <v>16</v>
      </c>
      <c r="I2760" t="s">
        <v>182</v>
      </c>
      <c r="J2760" t="s">
        <v>183</v>
      </c>
      <c r="K2760" t="s">
        <v>1809</v>
      </c>
      <c r="L2760" t="str">
        <f>HYPERLINK("https://business-monitor.ch/de/companies/1011810-asm-bucher-holding-gmbh?utm_source=oberaargau","PROFIL ANSEHEN")</f>
        <v>PROFIL ANSEHEN</v>
      </c>
    </row>
    <row r="2761" spans="1:12" x14ac:dyDescent="0.2">
      <c r="A2761" t="s">
        <v>12859</v>
      </c>
      <c r="B2761" t="s">
        <v>12860</v>
      </c>
      <c r="C2761" t="s">
        <v>202</v>
      </c>
      <c r="E2761" t="s">
        <v>12861</v>
      </c>
      <c r="F2761">
        <v>4950</v>
      </c>
      <c r="G2761" t="s">
        <v>15</v>
      </c>
      <c r="H2761" t="s">
        <v>16</v>
      </c>
      <c r="I2761" t="s">
        <v>24</v>
      </c>
      <c r="J2761" t="s">
        <v>25</v>
      </c>
      <c r="K2761" t="s">
        <v>1809</v>
      </c>
      <c r="L2761" t="str">
        <f>HYPERLINK("https://business-monitor.ch/de/companies/427007-xercon-gmbh?utm_source=oberaargau","PROFIL ANSEHEN")</f>
        <v>PROFIL ANSEHEN</v>
      </c>
    </row>
    <row r="2762" spans="1:12" x14ac:dyDescent="0.2">
      <c r="A2762" t="s">
        <v>13963</v>
      </c>
      <c r="B2762" t="s">
        <v>13964</v>
      </c>
      <c r="C2762" t="s">
        <v>2258</v>
      </c>
      <c r="D2762" t="s">
        <v>12758</v>
      </c>
      <c r="E2762" t="s">
        <v>4118</v>
      </c>
      <c r="F2762">
        <v>4912</v>
      </c>
      <c r="G2762" t="s">
        <v>64</v>
      </c>
      <c r="H2762" t="s">
        <v>16</v>
      </c>
      <c r="I2762" t="s">
        <v>2912</v>
      </c>
      <c r="J2762" t="s">
        <v>2913</v>
      </c>
      <c r="K2762" t="s">
        <v>1809</v>
      </c>
      <c r="L2762" t="str">
        <f>HYPERLINK("https://business-monitor.ch/de/companies/1282373-for-sudan?utm_source=oberaargau","PROFIL ANSEHEN")</f>
        <v>PROFIL ANSEHEN</v>
      </c>
    </row>
    <row r="2763" spans="1:12" x14ac:dyDescent="0.2">
      <c r="A2763" t="s">
        <v>4612</v>
      </c>
      <c r="B2763" t="s">
        <v>4613</v>
      </c>
      <c r="C2763" t="s">
        <v>1812</v>
      </c>
      <c r="E2763" t="s">
        <v>3023</v>
      </c>
      <c r="F2763">
        <v>4923</v>
      </c>
      <c r="G2763" t="s">
        <v>732</v>
      </c>
      <c r="H2763" t="s">
        <v>16</v>
      </c>
      <c r="I2763" t="s">
        <v>824</v>
      </c>
      <c r="J2763" t="s">
        <v>825</v>
      </c>
      <c r="K2763" t="s">
        <v>1809</v>
      </c>
      <c r="L2763" t="str">
        <f>HYPERLINK("https://business-monitor.ch/de/companies/638829-wirtshaus-roessli-irene-schnyder?utm_source=oberaargau","PROFIL ANSEHEN")</f>
        <v>PROFIL ANSEHEN</v>
      </c>
    </row>
    <row r="2764" spans="1:12" x14ac:dyDescent="0.2">
      <c r="A2764" t="s">
        <v>11782</v>
      </c>
      <c r="B2764" t="s">
        <v>11783</v>
      </c>
      <c r="C2764" t="s">
        <v>202</v>
      </c>
      <c r="E2764" t="s">
        <v>7899</v>
      </c>
      <c r="F2764">
        <v>3360</v>
      </c>
      <c r="G2764" t="s">
        <v>35</v>
      </c>
      <c r="H2764" t="s">
        <v>16</v>
      </c>
      <c r="I2764" t="s">
        <v>1871</v>
      </c>
      <c r="J2764" t="s">
        <v>1872</v>
      </c>
      <c r="K2764" t="s">
        <v>1809</v>
      </c>
      <c r="L2764" t="str">
        <f>HYPERLINK("https://business-monitor.ch/de/companies/1024760-br-telecommunication-marketing-gmbh?utm_source=oberaargau","PROFIL ANSEHEN")</f>
        <v>PROFIL ANSEHEN</v>
      </c>
    </row>
    <row r="2765" spans="1:12" x14ac:dyDescent="0.2">
      <c r="A2765" t="s">
        <v>856</v>
      </c>
      <c r="B2765" t="s">
        <v>857</v>
      </c>
      <c r="C2765" t="s">
        <v>13</v>
      </c>
      <c r="E2765" t="s">
        <v>143</v>
      </c>
      <c r="F2765">
        <v>4922</v>
      </c>
      <c r="G2765" t="s">
        <v>99</v>
      </c>
      <c r="H2765" t="s">
        <v>16</v>
      </c>
      <c r="I2765" t="s">
        <v>858</v>
      </c>
      <c r="J2765" t="s">
        <v>859</v>
      </c>
      <c r="K2765" t="s">
        <v>1809</v>
      </c>
      <c r="L2765" t="str">
        <f>HYPERLINK("https://business-monitor.ch/de/companies/162980-galtec-ag?utm_source=oberaargau","PROFIL ANSEHEN")</f>
        <v>PROFIL ANSEHEN</v>
      </c>
    </row>
    <row r="2766" spans="1:12" x14ac:dyDescent="0.2">
      <c r="A2766" t="s">
        <v>13801</v>
      </c>
      <c r="B2766" t="s">
        <v>13802</v>
      </c>
      <c r="C2766" t="s">
        <v>1812</v>
      </c>
      <c r="D2766" t="s">
        <v>13803</v>
      </c>
      <c r="E2766" t="s">
        <v>13804</v>
      </c>
      <c r="F2766">
        <v>4914</v>
      </c>
      <c r="G2766" t="s">
        <v>105</v>
      </c>
      <c r="H2766" t="s">
        <v>16</v>
      </c>
      <c r="I2766" t="s">
        <v>11284</v>
      </c>
      <c r="J2766" t="s">
        <v>11285</v>
      </c>
      <c r="K2766" t="s">
        <v>1809</v>
      </c>
      <c r="L2766" t="str">
        <f>HYPERLINK("https://business-monitor.ch/de/companies/1195728-walter-media?utm_source=oberaargau","PROFIL ANSEHEN")</f>
        <v>PROFIL ANSEHEN</v>
      </c>
    </row>
    <row r="2767" spans="1:12" x14ac:dyDescent="0.2">
      <c r="A2767" t="s">
        <v>1398</v>
      </c>
      <c r="B2767" t="s">
        <v>9139</v>
      </c>
      <c r="C2767" t="s">
        <v>13</v>
      </c>
      <c r="E2767" t="s">
        <v>14472</v>
      </c>
      <c r="F2767">
        <v>4937</v>
      </c>
      <c r="G2767" t="s">
        <v>951</v>
      </c>
      <c r="H2767" t="s">
        <v>16</v>
      </c>
      <c r="I2767" t="s">
        <v>167</v>
      </c>
      <c r="J2767" t="s">
        <v>168</v>
      </c>
      <c r="K2767" t="s">
        <v>1809</v>
      </c>
      <c r="L2767" t="str">
        <f>HYPERLINK("https://business-monitor.ch/de/companies/171635-gebr-steiner-ag?utm_source=oberaargau","PROFIL ANSEHEN")</f>
        <v>PROFIL ANSEHEN</v>
      </c>
    </row>
    <row r="2768" spans="1:12" x14ac:dyDescent="0.2">
      <c r="A2768" t="s">
        <v>9324</v>
      </c>
      <c r="B2768" t="s">
        <v>9325</v>
      </c>
      <c r="C2768" t="s">
        <v>202</v>
      </c>
      <c r="E2768" t="s">
        <v>390</v>
      </c>
      <c r="F2768">
        <v>4950</v>
      </c>
      <c r="G2768" t="s">
        <v>15</v>
      </c>
      <c r="H2768" t="s">
        <v>16</v>
      </c>
      <c r="I2768" t="s">
        <v>91</v>
      </c>
      <c r="J2768" t="s">
        <v>92</v>
      </c>
      <c r="K2768" t="s">
        <v>1809</v>
      </c>
      <c r="L2768" t="str">
        <f>HYPERLINK("https://business-monitor.ch/de/companies/87541-reist-aemmepower-gmbh?utm_source=oberaargau","PROFIL ANSEHEN")</f>
        <v>PROFIL ANSEHEN</v>
      </c>
    </row>
    <row r="2769" spans="1:12" x14ac:dyDescent="0.2">
      <c r="A2769" t="s">
        <v>8910</v>
      </c>
      <c r="B2769" t="s">
        <v>8911</v>
      </c>
      <c r="C2769" t="s">
        <v>202</v>
      </c>
      <c r="E2769" t="s">
        <v>2119</v>
      </c>
      <c r="F2769">
        <v>3372</v>
      </c>
      <c r="G2769" t="s">
        <v>2120</v>
      </c>
      <c r="H2769" t="s">
        <v>16</v>
      </c>
      <c r="I2769" t="s">
        <v>718</v>
      </c>
      <c r="J2769" t="s">
        <v>719</v>
      </c>
      <c r="K2769" t="s">
        <v>1809</v>
      </c>
      <c r="L2769" t="str">
        <f>HYPERLINK("https://business-monitor.ch/de/companies/289723-conquest-trans-gmbh?utm_source=oberaargau","PROFIL ANSEHEN")</f>
        <v>PROFIL ANSEHEN</v>
      </c>
    </row>
    <row r="2770" spans="1:12" x14ac:dyDescent="0.2">
      <c r="A2770" t="s">
        <v>11773</v>
      </c>
      <c r="B2770" t="s">
        <v>11774</v>
      </c>
      <c r="C2770" t="s">
        <v>202</v>
      </c>
      <c r="E2770" t="s">
        <v>6508</v>
      </c>
      <c r="F2770">
        <v>3360</v>
      </c>
      <c r="G2770" t="s">
        <v>35</v>
      </c>
      <c r="H2770" t="s">
        <v>16</v>
      </c>
      <c r="I2770" t="s">
        <v>72</v>
      </c>
      <c r="J2770" t="s">
        <v>73</v>
      </c>
      <c r="K2770" t="s">
        <v>1809</v>
      </c>
      <c r="L2770" t="str">
        <f>HYPERLINK("https://business-monitor.ch/de/companies/1162445-miromaxx-gmbh?utm_source=oberaargau","PROFIL ANSEHEN")</f>
        <v>PROFIL ANSEHEN</v>
      </c>
    </row>
    <row r="2771" spans="1:12" x14ac:dyDescent="0.2">
      <c r="A2771" t="s">
        <v>7512</v>
      </c>
      <c r="B2771" t="s">
        <v>7513</v>
      </c>
      <c r="C2771" t="s">
        <v>202</v>
      </c>
      <c r="E2771" t="s">
        <v>7514</v>
      </c>
      <c r="F2771">
        <v>3362</v>
      </c>
      <c r="G2771" t="s">
        <v>47</v>
      </c>
      <c r="H2771" t="s">
        <v>16</v>
      </c>
      <c r="I2771" t="s">
        <v>935</v>
      </c>
      <c r="J2771" t="s">
        <v>936</v>
      </c>
      <c r="K2771" t="s">
        <v>1809</v>
      </c>
      <c r="L2771" t="str">
        <f>HYPERLINK("https://business-monitor.ch/de/companies/715495-schuerchmatte-immobilien-gmbh?utm_source=oberaargau","PROFIL ANSEHEN")</f>
        <v>PROFIL ANSEHEN</v>
      </c>
    </row>
    <row r="2772" spans="1:12" x14ac:dyDescent="0.2">
      <c r="A2772" t="s">
        <v>7660</v>
      </c>
      <c r="B2772" t="s">
        <v>7661</v>
      </c>
      <c r="C2772" t="s">
        <v>202</v>
      </c>
      <c r="E2772" t="s">
        <v>2362</v>
      </c>
      <c r="F2772">
        <v>3366</v>
      </c>
      <c r="G2772" t="s">
        <v>728</v>
      </c>
      <c r="H2772" t="s">
        <v>16</v>
      </c>
      <c r="I2772" t="s">
        <v>781</v>
      </c>
      <c r="J2772" t="s">
        <v>782</v>
      </c>
      <c r="K2772" t="s">
        <v>1809</v>
      </c>
      <c r="L2772" t="str">
        <f>HYPERLINK("https://business-monitor.ch/de/companies/632858-wemitec-gmbh?utm_source=oberaargau","PROFIL ANSEHEN")</f>
        <v>PROFIL ANSEHEN</v>
      </c>
    </row>
    <row r="2773" spans="1:12" x14ac:dyDescent="0.2">
      <c r="A2773" t="s">
        <v>4420</v>
      </c>
      <c r="B2773" t="s">
        <v>4421</v>
      </c>
      <c r="C2773" t="s">
        <v>13</v>
      </c>
      <c r="E2773" t="s">
        <v>4422</v>
      </c>
      <c r="F2773">
        <v>3373</v>
      </c>
      <c r="G2773" t="s">
        <v>2429</v>
      </c>
      <c r="H2773" t="s">
        <v>16</v>
      </c>
      <c r="I2773" t="s">
        <v>157</v>
      </c>
      <c r="J2773" t="s">
        <v>158</v>
      </c>
      <c r="K2773" t="s">
        <v>1809</v>
      </c>
      <c r="L2773" t="str">
        <f>HYPERLINK("https://business-monitor.ch/de/companies/932240-reinmann-immobilien-ag?utm_source=oberaargau","PROFIL ANSEHEN")</f>
        <v>PROFIL ANSEHEN</v>
      </c>
    </row>
    <row r="2774" spans="1:12" x14ac:dyDescent="0.2">
      <c r="A2774" t="s">
        <v>8671</v>
      </c>
      <c r="B2774" t="s">
        <v>8672</v>
      </c>
      <c r="C2774" t="s">
        <v>84</v>
      </c>
      <c r="D2774" t="s">
        <v>8673</v>
      </c>
      <c r="E2774" t="s">
        <v>4894</v>
      </c>
      <c r="F2774">
        <v>4938</v>
      </c>
      <c r="G2774" t="s">
        <v>618</v>
      </c>
      <c r="H2774" t="s">
        <v>16</v>
      </c>
      <c r="I2774" t="s">
        <v>906</v>
      </c>
      <c r="J2774" t="s">
        <v>907</v>
      </c>
      <c r="K2774" t="s">
        <v>1809</v>
      </c>
      <c r="L2774" t="str">
        <f>HYPERLINK("https://business-monitor.ch/de/companies/64993-baugenossenschaft-rohrbach?utm_source=oberaargau","PROFIL ANSEHEN")</f>
        <v>PROFIL ANSEHEN</v>
      </c>
    </row>
    <row r="2775" spans="1:12" x14ac:dyDescent="0.2">
      <c r="A2775" t="s">
        <v>7029</v>
      </c>
      <c r="B2775" t="s">
        <v>7030</v>
      </c>
      <c r="C2775" t="s">
        <v>1812</v>
      </c>
      <c r="E2775" t="s">
        <v>7031</v>
      </c>
      <c r="F2775">
        <v>4955</v>
      </c>
      <c r="G2775" t="s">
        <v>684</v>
      </c>
      <c r="H2775" t="s">
        <v>16</v>
      </c>
      <c r="I2775" t="s">
        <v>642</v>
      </c>
      <c r="J2775" t="s">
        <v>643</v>
      </c>
      <c r="K2775" t="s">
        <v>1809</v>
      </c>
      <c r="L2775" t="str">
        <f>HYPERLINK("https://business-monitor.ch/de/companies/960021-pneu-aeschlimann?utm_source=oberaargau","PROFIL ANSEHEN")</f>
        <v>PROFIL ANSEHEN</v>
      </c>
    </row>
    <row r="2776" spans="1:12" x14ac:dyDescent="0.2">
      <c r="A2776" t="s">
        <v>6621</v>
      </c>
      <c r="B2776" t="s">
        <v>6622</v>
      </c>
      <c r="C2776" t="s">
        <v>13</v>
      </c>
      <c r="E2776" t="s">
        <v>1084</v>
      </c>
      <c r="F2776">
        <v>4900</v>
      </c>
      <c r="G2776" t="s">
        <v>41</v>
      </c>
      <c r="H2776" t="s">
        <v>16</v>
      </c>
      <c r="I2776" t="s">
        <v>1993</v>
      </c>
      <c r="J2776" t="s">
        <v>1994</v>
      </c>
      <c r="K2776" t="s">
        <v>1809</v>
      </c>
      <c r="L2776" t="str">
        <f>HYPERLINK("https://business-monitor.ch/de/companies/199068-rieder-invest-ag?utm_source=oberaargau","PROFIL ANSEHEN")</f>
        <v>PROFIL ANSEHEN</v>
      </c>
    </row>
    <row r="2777" spans="1:12" x14ac:dyDescent="0.2">
      <c r="A2777" t="s">
        <v>7890</v>
      </c>
      <c r="B2777" t="s">
        <v>7891</v>
      </c>
      <c r="C2777" t="s">
        <v>202</v>
      </c>
      <c r="E2777" t="s">
        <v>573</v>
      </c>
      <c r="F2777">
        <v>4912</v>
      </c>
      <c r="G2777" t="s">
        <v>64</v>
      </c>
      <c r="H2777" t="s">
        <v>16</v>
      </c>
      <c r="I2777" t="s">
        <v>6794</v>
      </c>
      <c r="J2777" t="s">
        <v>6795</v>
      </c>
      <c r="K2777" t="s">
        <v>1809</v>
      </c>
      <c r="L2777" t="str">
        <f>HYPERLINK("https://business-monitor.ch/de/companies/96201-crisol-holding-gmbh?utm_source=oberaargau","PROFIL ANSEHEN")</f>
        <v>PROFIL ANSEHEN</v>
      </c>
    </row>
    <row r="2778" spans="1:12" x14ac:dyDescent="0.2">
      <c r="A2778" t="s">
        <v>10604</v>
      </c>
      <c r="B2778" t="s">
        <v>10605</v>
      </c>
      <c r="C2778" t="s">
        <v>1812</v>
      </c>
      <c r="E2778" t="s">
        <v>10606</v>
      </c>
      <c r="F2778">
        <v>4704</v>
      </c>
      <c r="G2778" t="s">
        <v>221</v>
      </c>
      <c r="H2778" t="s">
        <v>16</v>
      </c>
      <c r="I2778" t="s">
        <v>1855</v>
      </c>
      <c r="J2778" t="s">
        <v>1856</v>
      </c>
      <c r="K2778" t="s">
        <v>1809</v>
      </c>
      <c r="L2778" t="str">
        <f>HYPERLINK("https://business-monitor.ch/de/companies/445199-praxis-regenbogen-lehmann?utm_source=oberaargau","PROFIL ANSEHEN")</f>
        <v>PROFIL ANSEHEN</v>
      </c>
    </row>
    <row r="2779" spans="1:12" x14ac:dyDescent="0.2">
      <c r="A2779" t="s">
        <v>11770</v>
      </c>
      <c r="B2779" t="s">
        <v>11771</v>
      </c>
      <c r="C2779" t="s">
        <v>202</v>
      </c>
      <c r="E2779" t="s">
        <v>11772</v>
      </c>
      <c r="F2779">
        <v>4914</v>
      </c>
      <c r="G2779" t="s">
        <v>105</v>
      </c>
      <c r="H2779" t="s">
        <v>16</v>
      </c>
      <c r="I2779" t="s">
        <v>182</v>
      </c>
      <c r="J2779" t="s">
        <v>183</v>
      </c>
      <c r="K2779" t="s">
        <v>1809</v>
      </c>
      <c r="L2779" t="str">
        <f>HYPERLINK("https://business-monitor.ch/de/companies/1162174-zeller-group-gmbh?utm_source=oberaargau","PROFIL ANSEHEN")</f>
        <v>PROFIL ANSEHEN</v>
      </c>
    </row>
    <row r="2780" spans="1:12" x14ac:dyDescent="0.2">
      <c r="A2780" t="s">
        <v>9020</v>
      </c>
      <c r="B2780" t="s">
        <v>9021</v>
      </c>
      <c r="C2780" t="s">
        <v>202</v>
      </c>
      <c r="E2780" t="s">
        <v>9022</v>
      </c>
      <c r="F2780">
        <v>3377</v>
      </c>
      <c r="G2780" t="s">
        <v>1220</v>
      </c>
      <c r="H2780" t="s">
        <v>16</v>
      </c>
      <c r="I2780" t="s">
        <v>1337</v>
      </c>
      <c r="J2780" t="s">
        <v>1338</v>
      </c>
      <c r="K2780" t="s">
        <v>1809</v>
      </c>
      <c r="L2780" t="str">
        <f>HYPERLINK("https://business-monitor.ch/de/companies/226131-4rocks-gmbh?utm_source=oberaargau","PROFIL ANSEHEN")</f>
        <v>PROFIL ANSEHEN</v>
      </c>
    </row>
    <row r="2781" spans="1:12" x14ac:dyDescent="0.2">
      <c r="A2781" t="s">
        <v>10308</v>
      </c>
      <c r="B2781" t="s">
        <v>10309</v>
      </c>
      <c r="C2781" t="s">
        <v>202</v>
      </c>
      <c r="E2781" t="s">
        <v>9881</v>
      </c>
      <c r="F2781">
        <v>4914</v>
      </c>
      <c r="G2781" t="s">
        <v>105</v>
      </c>
      <c r="H2781" t="s">
        <v>16</v>
      </c>
      <c r="I2781" t="s">
        <v>77</v>
      </c>
      <c r="J2781" t="s">
        <v>78</v>
      </c>
      <c r="K2781" t="s">
        <v>1809</v>
      </c>
      <c r="L2781" t="str">
        <f>HYPERLINK("https://business-monitor.ch/de/companies/562701-sathi-gmbh?utm_source=oberaargau","PROFIL ANSEHEN")</f>
        <v>PROFIL ANSEHEN</v>
      </c>
    </row>
    <row r="2782" spans="1:12" x14ac:dyDescent="0.2">
      <c r="A2782" t="s">
        <v>14553</v>
      </c>
      <c r="B2782" t="s">
        <v>14554</v>
      </c>
      <c r="C2782" t="s">
        <v>202</v>
      </c>
      <c r="E2782" t="s">
        <v>9642</v>
      </c>
      <c r="F2782">
        <v>4900</v>
      </c>
      <c r="G2782" t="s">
        <v>41</v>
      </c>
      <c r="H2782" t="s">
        <v>16</v>
      </c>
      <c r="I2782" t="s">
        <v>340</v>
      </c>
      <c r="J2782" t="s">
        <v>341</v>
      </c>
      <c r="K2782" t="s">
        <v>1809</v>
      </c>
      <c r="L2782" t="str">
        <f>HYPERLINK("https://business-monitor.ch/de/companies/1308324-inathona-gmbh?utm_source=oberaargau","PROFIL ANSEHEN")</f>
        <v>PROFIL ANSEHEN</v>
      </c>
    </row>
    <row r="2783" spans="1:12" x14ac:dyDescent="0.2">
      <c r="A2783" t="s">
        <v>12181</v>
      </c>
      <c r="B2783" t="s">
        <v>12182</v>
      </c>
      <c r="C2783" t="s">
        <v>13</v>
      </c>
      <c r="D2783" t="s">
        <v>12183</v>
      </c>
      <c r="E2783" t="s">
        <v>8656</v>
      </c>
      <c r="F2783">
        <v>4922</v>
      </c>
      <c r="G2783" t="s">
        <v>99</v>
      </c>
      <c r="H2783" t="s">
        <v>16</v>
      </c>
      <c r="I2783" t="s">
        <v>186</v>
      </c>
      <c r="J2783" t="s">
        <v>187</v>
      </c>
      <c r="K2783" t="s">
        <v>1809</v>
      </c>
      <c r="L2783" t="str">
        <f>HYPERLINK("https://business-monitor.ch/de/companies/1184133-kurzbuch-kurzbuch-holding-ag?utm_source=oberaargau","PROFIL ANSEHEN")</f>
        <v>PROFIL ANSEHEN</v>
      </c>
    </row>
    <row r="2784" spans="1:12" x14ac:dyDescent="0.2">
      <c r="A2784" t="s">
        <v>1448</v>
      </c>
      <c r="B2784" t="s">
        <v>12167</v>
      </c>
      <c r="C2784" t="s">
        <v>1812</v>
      </c>
      <c r="E2784" t="s">
        <v>3257</v>
      </c>
      <c r="F2784">
        <v>4900</v>
      </c>
      <c r="G2784" t="s">
        <v>41</v>
      </c>
      <c r="H2784" t="s">
        <v>16</v>
      </c>
      <c r="I2784" t="s">
        <v>4901</v>
      </c>
      <c r="J2784" t="s">
        <v>4902</v>
      </c>
      <c r="K2784" t="s">
        <v>1809</v>
      </c>
      <c r="L2784" t="str">
        <f>HYPERLINK("https://business-monitor.ch/de/companies/398174-wortschaft-text-und-verlag-philipp-abt?utm_source=oberaargau","PROFIL ANSEHEN")</f>
        <v>PROFIL ANSEHEN</v>
      </c>
    </row>
    <row r="2785" spans="1:12" x14ac:dyDescent="0.2">
      <c r="A2785" t="s">
        <v>11102</v>
      </c>
      <c r="B2785" t="s">
        <v>13201</v>
      </c>
      <c r="C2785" t="s">
        <v>1812</v>
      </c>
      <c r="E2785" t="s">
        <v>13202</v>
      </c>
      <c r="F2785">
        <v>3360</v>
      </c>
      <c r="G2785" t="s">
        <v>35</v>
      </c>
      <c r="H2785" t="s">
        <v>16</v>
      </c>
      <c r="I2785" t="s">
        <v>1097</v>
      </c>
      <c r="J2785" t="s">
        <v>1098</v>
      </c>
      <c r="K2785" t="s">
        <v>1809</v>
      </c>
      <c r="L2785" t="str">
        <f>HYPERLINK("https://business-monitor.ch/de/companies/1237266-paluma-e-commerce-schulz?utm_source=oberaargau","PROFIL ANSEHEN")</f>
        <v>PROFIL ANSEHEN</v>
      </c>
    </row>
    <row r="2786" spans="1:12" x14ac:dyDescent="0.2">
      <c r="A2786" t="s">
        <v>2215</v>
      </c>
      <c r="B2786" t="s">
        <v>2216</v>
      </c>
      <c r="C2786" t="s">
        <v>202</v>
      </c>
      <c r="E2786" t="s">
        <v>11842</v>
      </c>
      <c r="F2786">
        <v>4900</v>
      </c>
      <c r="G2786" t="s">
        <v>41</v>
      </c>
      <c r="H2786" t="s">
        <v>16</v>
      </c>
      <c r="I2786" t="s">
        <v>1852</v>
      </c>
      <c r="J2786" t="s">
        <v>1853</v>
      </c>
      <c r="K2786" t="s">
        <v>1809</v>
      </c>
      <c r="L2786" t="str">
        <f>HYPERLINK("https://business-monitor.ch/de/companies/1067603-kadar-bau-gmbh?utm_source=oberaargau","PROFIL ANSEHEN")</f>
        <v>PROFIL ANSEHEN</v>
      </c>
    </row>
    <row r="2787" spans="1:12" x14ac:dyDescent="0.2">
      <c r="A2787" t="s">
        <v>9786</v>
      </c>
      <c r="B2787" t="s">
        <v>9787</v>
      </c>
      <c r="C2787" t="s">
        <v>1812</v>
      </c>
      <c r="E2787" t="s">
        <v>9788</v>
      </c>
      <c r="F2787">
        <v>4922</v>
      </c>
      <c r="G2787" t="s">
        <v>99</v>
      </c>
      <c r="H2787" t="s">
        <v>16</v>
      </c>
      <c r="I2787" t="s">
        <v>733</v>
      </c>
      <c r="J2787" t="s">
        <v>734</v>
      </c>
      <c r="K2787" t="s">
        <v>1809</v>
      </c>
      <c r="L2787" t="str">
        <f>HYPERLINK("https://business-monitor.ch/de/companies/1019997-rajahs-cars-inh-selvarajah?utm_source=oberaargau","PROFIL ANSEHEN")</f>
        <v>PROFIL ANSEHEN</v>
      </c>
    </row>
    <row r="2788" spans="1:12" x14ac:dyDescent="0.2">
      <c r="A2788" t="s">
        <v>6479</v>
      </c>
      <c r="B2788" t="s">
        <v>6480</v>
      </c>
      <c r="C2788" t="s">
        <v>202</v>
      </c>
      <c r="E2788" t="s">
        <v>6481</v>
      </c>
      <c r="F2788">
        <v>3365</v>
      </c>
      <c r="G2788" t="s">
        <v>2390</v>
      </c>
      <c r="H2788" t="s">
        <v>16</v>
      </c>
      <c r="I2788" t="s">
        <v>260</v>
      </c>
      <c r="J2788" t="s">
        <v>261</v>
      </c>
      <c r="K2788" t="s">
        <v>1809</v>
      </c>
      <c r="L2788" t="str">
        <f>HYPERLINK("https://business-monitor.ch/de/companies/259926-baustil-ch-gmbh?utm_source=oberaargau","PROFIL ANSEHEN")</f>
        <v>PROFIL ANSEHEN</v>
      </c>
    </row>
    <row r="2789" spans="1:12" x14ac:dyDescent="0.2">
      <c r="A2789" t="s">
        <v>6265</v>
      </c>
      <c r="B2789" t="s">
        <v>6266</v>
      </c>
      <c r="C2789" t="s">
        <v>202</v>
      </c>
      <c r="E2789" t="s">
        <v>6267</v>
      </c>
      <c r="F2789">
        <v>4952</v>
      </c>
      <c r="G2789" t="s">
        <v>474</v>
      </c>
      <c r="H2789" t="s">
        <v>16</v>
      </c>
      <c r="I2789" t="s">
        <v>4277</v>
      </c>
      <c r="J2789" t="s">
        <v>4278</v>
      </c>
      <c r="K2789" t="s">
        <v>1809</v>
      </c>
      <c r="L2789" t="str">
        <f>HYPERLINK("https://business-monitor.ch/de/companies/350108-schwarz-bau-gmbh?utm_source=oberaargau","PROFIL ANSEHEN")</f>
        <v>PROFIL ANSEHEN</v>
      </c>
    </row>
    <row r="2790" spans="1:12" x14ac:dyDescent="0.2">
      <c r="A2790" t="s">
        <v>1930</v>
      </c>
      <c r="B2790" t="s">
        <v>6520</v>
      </c>
      <c r="C2790" t="s">
        <v>1812</v>
      </c>
      <c r="E2790" t="s">
        <v>6521</v>
      </c>
      <c r="F2790">
        <v>4934</v>
      </c>
      <c r="G2790" t="s">
        <v>670</v>
      </c>
      <c r="H2790" t="s">
        <v>16</v>
      </c>
      <c r="I2790" t="s">
        <v>3369</v>
      </c>
      <c r="J2790" t="s">
        <v>3370</v>
      </c>
      <c r="K2790" t="s">
        <v>1809</v>
      </c>
      <c r="L2790" t="str">
        <f>HYPERLINK("https://business-monitor.ch/de/companies/238591-dental-service-philipp-reinmann?utm_source=oberaargau","PROFIL ANSEHEN")</f>
        <v>PROFIL ANSEHEN</v>
      </c>
    </row>
    <row r="2791" spans="1:12" x14ac:dyDescent="0.2">
      <c r="A2791" t="s">
        <v>7990</v>
      </c>
      <c r="B2791" t="s">
        <v>7991</v>
      </c>
      <c r="C2791" t="s">
        <v>13</v>
      </c>
      <c r="E2791" t="s">
        <v>7992</v>
      </c>
      <c r="F2791">
        <v>4704</v>
      </c>
      <c r="G2791" t="s">
        <v>221</v>
      </c>
      <c r="H2791" t="s">
        <v>16</v>
      </c>
      <c r="I2791" t="s">
        <v>1274</v>
      </c>
      <c r="J2791" t="s">
        <v>1275</v>
      </c>
      <c r="K2791" t="s">
        <v>1809</v>
      </c>
      <c r="L2791" t="str">
        <f>HYPERLINK("https://business-monitor.ch/de/companies/521096-staub-strassenbau-ag?utm_source=oberaargau","PROFIL ANSEHEN")</f>
        <v>PROFIL ANSEHEN</v>
      </c>
    </row>
    <row r="2792" spans="1:12" x14ac:dyDescent="0.2">
      <c r="A2792" t="s">
        <v>14272</v>
      </c>
      <c r="B2792" t="s">
        <v>14273</v>
      </c>
      <c r="C2792" t="s">
        <v>1812</v>
      </c>
      <c r="E2792" t="s">
        <v>14274</v>
      </c>
      <c r="F2792">
        <v>4912</v>
      </c>
      <c r="G2792" t="s">
        <v>64</v>
      </c>
      <c r="H2792" t="s">
        <v>16</v>
      </c>
      <c r="I2792" t="s">
        <v>5389</v>
      </c>
      <c r="J2792" t="s">
        <v>5390</v>
      </c>
      <c r="K2792" t="s">
        <v>1809</v>
      </c>
      <c r="L2792" t="str">
        <f>HYPERLINK("https://business-monitor.ch/de/companies/1288377-swiss-fast-change-von-leon-zanni?utm_source=oberaargau","PROFIL ANSEHEN")</f>
        <v>PROFIL ANSEHEN</v>
      </c>
    </row>
    <row r="2793" spans="1:12" x14ac:dyDescent="0.2">
      <c r="A2793" t="s">
        <v>4542</v>
      </c>
      <c r="B2793" t="s">
        <v>11131</v>
      </c>
      <c r="C2793" t="s">
        <v>13</v>
      </c>
      <c r="E2793" t="s">
        <v>3035</v>
      </c>
      <c r="F2793">
        <v>4704</v>
      </c>
      <c r="G2793" t="s">
        <v>221</v>
      </c>
      <c r="H2793" t="s">
        <v>16</v>
      </c>
      <c r="I2793" t="s">
        <v>781</v>
      </c>
      <c r="J2793" t="s">
        <v>782</v>
      </c>
      <c r="K2793" t="s">
        <v>1809</v>
      </c>
      <c r="L2793" t="str">
        <f>HYPERLINK("https://business-monitor.ch/de/companies/668504-bagger-ch-ag?utm_source=oberaargau","PROFIL ANSEHEN")</f>
        <v>PROFIL ANSEHEN</v>
      </c>
    </row>
    <row r="2794" spans="1:12" x14ac:dyDescent="0.2">
      <c r="A2794" t="s">
        <v>12156</v>
      </c>
      <c r="B2794" t="s">
        <v>12157</v>
      </c>
      <c r="C2794" t="s">
        <v>202</v>
      </c>
      <c r="E2794" t="s">
        <v>5513</v>
      </c>
      <c r="F2794">
        <v>4935</v>
      </c>
      <c r="G2794" t="s">
        <v>443</v>
      </c>
      <c r="H2794" t="s">
        <v>16</v>
      </c>
      <c r="I2794" t="s">
        <v>464</v>
      </c>
      <c r="J2794" t="s">
        <v>465</v>
      </c>
      <c r="K2794" t="s">
        <v>1809</v>
      </c>
      <c r="L2794" t="str">
        <f>HYPERLINK("https://business-monitor.ch/de/companies/1186799-flueckiger-log-plan-gmbh?utm_source=oberaargau","PROFIL ANSEHEN")</f>
        <v>PROFIL ANSEHEN</v>
      </c>
    </row>
    <row r="2795" spans="1:12" x14ac:dyDescent="0.2">
      <c r="A2795" t="s">
        <v>1985</v>
      </c>
      <c r="B2795" t="s">
        <v>1986</v>
      </c>
      <c r="C2795" t="s">
        <v>1812</v>
      </c>
      <c r="E2795" t="s">
        <v>1987</v>
      </c>
      <c r="F2795">
        <v>4900</v>
      </c>
      <c r="G2795" t="s">
        <v>41</v>
      </c>
      <c r="H2795" t="s">
        <v>16</v>
      </c>
      <c r="I2795" t="s">
        <v>997</v>
      </c>
      <c r="J2795" t="s">
        <v>998</v>
      </c>
      <c r="K2795" t="s">
        <v>1809</v>
      </c>
      <c r="L2795" t="str">
        <f>HYPERLINK("https://business-monitor.ch/de/companies/207414-fankhauser-bruno?utm_source=oberaargau","PROFIL ANSEHEN")</f>
        <v>PROFIL ANSEHEN</v>
      </c>
    </row>
    <row r="2796" spans="1:12" x14ac:dyDescent="0.2">
      <c r="A2796" t="s">
        <v>9463</v>
      </c>
      <c r="B2796" t="s">
        <v>9464</v>
      </c>
      <c r="C2796" t="s">
        <v>13</v>
      </c>
      <c r="E2796" t="s">
        <v>1357</v>
      </c>
      <c r="F2796">
        <v>4900</v>
      </c>
      <c r="G2796" t="s">
        <v>41</v>
      </c>
      <c r="H2796" t="s">
        <v>16</v>
      </c>
      <c r="I2796" t="s">
        <v>232</v>
      </c>
      <c r="J2796" t="s">
        <v>233</v>
      </c>
      <c r="K2796" t="s">
        <v>1809</v>
      </c>
      <c r="L2796" t="str">
        <f>HYPERLINK("https://business-monitor.ch/de/companies/5402-grevag-ag?utm_source=oberaargau","PROFIL ANSEHEN")</f>
        <v>PROFIL ANSEHEN</v>
      </c>
    </row>
    <row r="2797" spans="1:12" x14ac:dyDescent="0.2">
      <c r="A2797" t="s">
        <v>12453</v>
      </c>
      <c r="B2797" t="s">
        <v>12454</v>
      </c>
      <c r="C2797" t="s">
        <v>1827</v>
      </c>
      <c r="E2797" t="s">
        <v>12455</v>
      </c>
      <c r="F2797">
        <v>4537</v>
      </c>
      <c r="G2797" t="s">
        <v>113</v>
      </c>
      <c r="H2797" t="s">
        <v>16</v>
      </c>
      <c r="I2797" t="s">
        <v>1097</v>
      </c>
      <c r="J2797" t="s">
        <v>1098</v>
      </c>
      <c r="K2797" t="s">
        <v>1809</v>
      </c>
      <c r="L2797" t="str">
        <f>HYPERLINK("https://business-monitor.ch/de/companies/1201199-sistershop-klg?utm_source=oberaargau","PROFIL ANSEHEN")</f>
        <v>PROFIL ANSEHEN</v>
      </c>
    </row>
    <row r="2798" spans="1:12" x14ac:dyDescent="0.2">
      <c r="A2798" t="s">
        <v>6954</v>
      </c>
      <c r="B2798" t="s">
        <v>6955</v>
      </c>
      <c r="C2798" t="s">
        <v>13</v>
      </c>
      <c r="D2798" t="s">
        <v>6956</v>
      </c>
      <c r="E2798" t="s">
        <v>6957</v>
      </c>
      <c r="F2798">
        <v>4934</v>
      </c>
      <c r="G2798" t="s">
        <v>670</v>
      </c>
      <c r="H2798" t="s">
        <v>16</v>
      </c>
      <c r="I2798" t="s">
        <v>1324</v>
      </c>
      <c r="J2798" t="s">
        <v>1325</v>
      </c>
      <c r="K2798" t="s">
        <v>1809</v>
      </c>
      <c r="L2798" t="str">
        <f>HYPERLINK("https://business-monitor.ch/de/companies/150-lauener-holzbau-ag?utm_source=oberaargau","PROFIL ANSEHEN")</f>
        <v>PROFIL ANSEHEN</v>
      </c>
    </row>
    <row r="2799" spans="1:12" x14ac:dyDescent="0.2">
      <c r="A2799" t="s">
        <v>9672</v>
      </c>
      <c r="B2799" t="s">
        <v>12107</v>
      </c>
      <c r="C2799" t="s">
        <v>1812</v>
      </c>
      <c r="E2799" t="s">
        <v>12108</v>
      </c>
      <c r="F2799">
        <v>4932</v>
      </c>
      <c r="G2799" t="s">
        <v>325</v>
      </c>
      <c r="H2799" t="s">
        <v>16</v>
      </c>
      <c r="I2799" t="s">
        <v>613</v>
      </c>
      <c r="J2799" t="s">
        <v>614</v>
      </c>
      <c r="K2799" t="s">
        <v>1809</v>
      </c>
      <c r="L2799" t="str">
        <f>HYPERLINK("https://business-monitor.ch/de/companies/541635-bike-dr-steffen?utm_source=oberaargau","PROFIL ANSEHEN")</f>
        <v>PROFIL ANSEHEN</v>
      </c>
    </row>
    <row r="2800" spans="1:12" x14ac:dyDescent="0.2">
      <c r="A2800" t="s">
        <v>3227</v>
      </c>
      <c r="B2800" t="s">
        <v>3228</v>
      </c>
      <c r="C2800" t="s">
        <v>13</v>
      </c>
      <c r="E2800" t="s">
        <v>3229</v>
      </c>
      <c r="F2800">
        <v>4704</v>
      </c>
      <c r="G2800" t="s">
        <v>221</v>
      </c>
      <c r="H2800" t="s">
        <v>16</v>
      </c>
      <c r="I2800" t="s">
        <v>642</v>
      </c>
      <c r="J2800" t="s">
        <v>643</v>
      </c>
      <c r="K2800" t="s">
        <v>1809</v>
      </c>
      <c r="L2800" t="str">
        <f>HYPERLINK("https://business-monitor.ch/de/companies/268589-garage-martin-meier-ag?utm_source=oberaargau","PROFIL ANSEHEN")</f>
        <v>PROFIL ANSEHEN</v>
      </c>
    </row>
    <row r="2801" spans="1:12" x14ac:dyDescent="0.2">
      <c r="A2801" t="s">
        <v>4760</v>
      </c>
      <c r="B2801" t="s">
        <v>4761</v>
      </c>
      <c r="C2801" t="s">
        <v>202</v>
      </c>
      <c r="E2801" t="s">
        <v>3257</v>
      </c>
      <c r="F2801">
        <v>4900</v>
      </c>
      <c r="G2801" t="s">
        <v>41</v>
      </c>
      <c r="H2801" t="s">
        <v>16</v>
      </c>
      <c r="I2801" t="s">
        <v>587</v>
      </c>
      <c r="J2801" t="s">
        <v>588</v>
      </c>
      <c r="K2801" t="s">
        <v>1809</v>
      </c>
      <c r="L2801" t="str">
        <f>HYPERLINK("https://business-monitor.ch/de/companies/572439-gerber-engineering-gmbh?utm_source=oberaargau","PROFIL ANSEHEN")</f>
        <v>PROFIL ANSEHEN</v>
      </c>
    </row>
    <row r="2802" spans="1:12" x14ac:dyDescent="0.2">
      <c r="A2802" t="s">
        <v>9254</v>
      </c>
      <c r="B2802" t="s">
        <v>9255</v>
      </c>
      <c r="C2802" t="s">
        <v>202</v>
      </c>
      <c r="E2802" t="s">
        <v>9256</v>
      </c>
      <c r="F2802">
        <v>4704</v>
      </c>
      <c r="G2802" t="s">
        <v>221</v>
      </c>
      <c r="H2802" t="s">
        <v>16</v>
      </c>
      <c r="I2802" t="s">
        <v>642</v>
      </c>
      <c r="J2802" t="s">
        <v>643</v>
      </c>
      <c r="K2802" t="s">
        <v>1809</v>
      </c>
      <c r="L2802" t="str">
        <f>HYPERLINK("https://business-monitor.ch/de/companies/116566-ad-garage-landert-gmbh?utm_source=oberaargau","PROFIL ANSEHEN")</f>
        <v>PROFIL ANSEHEN</v>
      </c>
    </row>
    <row r="2803" spans="1:12" x14ac:dyDescent="0.2">
      <c r="A2803" t="s">
        <v>13559</v>
      </c>
      <c r="B2803" t="s">
        <v>13560</v>
      </c>
      <c r="C2803" t="s">
        <v>202</v>
      </c>
      <c r="E2803" t="s">
        <v>1823</v>
      </c>
      <c r="F2803">
        <v>4914</v>
      </c>
      <c r="G2803" t="s">
        <v>105</v>
      </c>
      <c r="H2803" t="s">
        <v>16</v>
      </c>
      <c r="I2803" t="s">
        <v>1818</v>
      </c>
      <c r="J2803" t="s">
        <v>1819</v>
      </c>
      <c r="K2803" t="s">
        <v>1809</v>
      </c>
      <c r="L2803" t="str">
        <f>HYPERLINK("https://business-monitor.ch/de/companies/1264484-jiosana-gmbh?utm_source=oberaargau","PROFIL ANSEHEN")</f>
        <v>PROFIL ANSEHEN</v>
      </c>
    </row>
    <row r="2804" spans="1:12" x14ac:dyDescent="0.2">
      <c r="A2804" t="s">
        <v>9110</v>
      </c>
      <c r="B2804" t="s">
        <v>9111</v>
      </c>
      <c r="C2804" t="s">
        <v>13</v>
      </c>
      <c r="E2804" t="s">
        <v>9112</v>
      </c>
      <c r="F2804">
        <v>3360</v>
      </c>
      <c r="G2804" t="s">
        <v>35</v>
      </c>
      <c r="H2804" t="s">
        <v>16</v>
      </c>
      <c r="I2804" t="s">
        <v>862</v>
      </c>
      <c r="J2804" t="s">
        <v>863</v>
      </c>
      <c r="K2804" t="s">
        <v>1809</v>
      </c>
      <c r="L2804" t="str">
        <f>HYPERLINK("https://business-monitor.ch/de/companies/173749-luethi-druck-ag?utm_source=oberaargau","PROFIL ANSEHEN")</f>
        <v>PROFIL ANSEHEN</v>
      </c>
    </row>
    <row r="2805" spans="1:12" x14ac:dyDescent="0.2">
      <c r="A2805" t="s">
        <v>6695</v>
      </c>
      <c r="B2805" t="s">
        <v>6696</v>
      </c>
      <c r="C2805" t="s">
        <v>1812</v>
      </c>
      <c r="E2805" t="s">
        <v>6697</v>
      </c>
      <c r="F2805">
        <v>4932</v>
      </c>
      <c r="G2805" t="s">
        <v>325</v>
      </c>
      <c r="H2805" t="s">
        <v>16</v>
      </c>
      <c r="I2805" t="s">
        <v>4308</v>
      </c>
      <c r="J2805" t="s">
        <v>4309</v>
      </c>
      <c r="K2805" t="s">
        <v>1809</v>
      </c>
      <c r="L2805" t="str">
        <f>HYPERLINK("https://business-monitor.ch/de/companies/156726-buetzer-kuehlservice?utm_source=oberaargau","PROFIL ANSEHEN")</f>
        <v>PROFIL ANSEHEN</v>
      </c>
    </row>
    <row r="2806" spans="1:12" x14ac:dyDescent="0.2">
      <c r="A2806" t="s">
        <v>4494</v>
      </c>
      <c r="B2806" t="s">
        <v>4495</v>
      </c>
      <c r="C2806" t="s">
        <v>1827</v>
      </c>
      <c r="E2806" t="s">
        <v>4496</v>
      </c>
      <c r="F2806">
        <v>3367</v>
      </c>
      <c r="G2806" t="s">
        <v>455</v>
      </c>
      <c r="H2806" t="s">
        <v>16</v>
      </c>
      <c r="I2806" t="s">
        <v>928</v>
      </c>
      <c r="J2806" t="s">
        <v>929</v>
      </c>
      <c r="K2806" t="s">
        <v>1809</v>
      </c>
      <c r="L2806" t="str">
        <f>HYPERLINK("https://business-monitor.ch/de/companies/702706-fitte-tuete-sandra-krone-michael-kienzler?utm_source=oberaargau","PROFIL ANSEHEN")</f>
        <v>PROFIL ANSEHEN</v>
      </c>
    </row>
    <row r="2807" spans="1:12" x14ac:dyDescent="0.2">
      <c r="A2807" t="s">
        <v>11620</v>
      </c>
      <c r="B2807" t="s">
        <v>11621</v>
      </c>
      <c r="C2807" t="s">
        <v>1812</v>
      </c>
      <c r="E2807" t="s">
        <v>1796</v>
      </c>
      <c r="F2807">
        <v>3360</v>
      </c>
      <c r="G2807" t="s">
        <v>35</v>
      </c>
      <c r="H2807" t="s">
        <v>16</v>
      </c>
      <c r="I2807" t="s">
        <v>1841</v>
      </c>
      <c r="J2807" t="s">
        <v>1842</v>
      </c>
      <c r="K2807" t="s">
        <v>1809</v>
      </c>
      <c r="L2807" t="str">
        <f>HYPERLINK("https://business-monitor.ch/de/companies/1159808-myoversum-celine-schlatter?utm_source=oberaargau","PROFIL ANSEHEN")</f>
        <v>PROFIL ANSEHEN</v>
      </c>
    </row>
    <row r="2808" spans="1:12" x14ac:dyDescent="0.2">
      <c r="A2808" t="s">
        <v>777</v>
      </c>
      <c r="B2808" t="s">
        <v>778</v>
      </c>
      <c r="C2808" t="s">
        <v>13</v>
      </c>
      <c r="E2808" t="s">
        <v>779</v>
      </c>
      <c r="F2808">
        <v>4916</v>
      </c>
      <c r="G2808" t="s">
        <v>780</v>
      </c>
      <c r="H2808" t="s">
        <v>16</v>
      </c>
      <c r="I2808" t="s">
        <v>781</v>
      </c>
      <c r="J2808" t="s">
        <v>782</v>
      </c>
      <c r="K2808" t="s">
        <v>1809</v>
      </c>
      <c r="L2808" t="str">
        <f>HYPERLINK("https://business-monitor.ch/de/companies/27870-w-u-h-schneider-ag?utm_source=oberaargau","PROFIL ANSEHEN")</f>
        <v>PROFIL ANSEHEN</v>
      </c>
    </row>
    <row r="2809" spans="1:12" x14ac:dyDescent="0.2">
      <c r="A2809" t="s">
        <v>9694</v>
      </c>
      <c r="B2809" t="s">
        <v>9695</v>
      </c>
      <c r="C2809" t="s">
        <v>202</v>
      </c>
      <c r="D2809" t="s">
        <v>10797</v>
      </c>
      <c r="E2809" t="s">
        <v>10798</v>
      </c>
      <c r="F2809">
        <v>4704</v>
      </c>
      <c r="G2809" t="s">
        <v>221</v>
      </c>
      <c r="H2809" t="s">
        <v>16</v>
      </c>
      <c r="I2809" t="s">
        <v>157</v>
      </c>
      <c r="J2809" t="s">
        <v>158</v>
      </c>
      <c r="K2809" t="s">
        <v>1809</v>
      </c>
      <c r="L2809" t="str">
        <f>HYPERLINK("https://business-monitor.ch/de/companies/1053091-bdm-invest-gmbh?utm_source=oberaargau","PROFIL ANSEHEN")</f>
        <v>PROFIL ANSEHEN</v>
      </c>
    </row>
    <row r="2810" spans="1:12" x14ac:dyDescent="0.2">
      <c r="A2810" t="s">
        <v>6837</v>
      </c>
      <c r="B2810" t="s">
        <v>6838</v>
      </c>
      <c r="C2810" t="s">
        <v>13</v>
      </c>
      <c r="E2810" t="s">
        <v>6839</v>
      </c>
      <c r="F2810">
        <v>4914</v>
      </c>
      <c r="G2810" t="s">
        <v>105</v>
      </c>
      <c r="H2810" t="s">
        <v>16</v>
      </c>
      <c r="I2810" t="s">
        <v>77</v>
      </c>
      <c r="J2810" t="s">
        <v>78</v>
      </c>
      <c r="K2810" t="s">
        <v>1809</v>
      </c>
      <c r="L2810" t="str">
        <f>HYPERLINK("https://business-monitor.ch/de/companies/59856-nizolino-ag?utm_source=oberaargau","PROFIL ANSEHEN")</f>
        <v>PROFIL ANSEHEN</v>
      </c>
    </row>
    <row r="2811" spans="1:12" x14ac:dyDescent="0.2">
      <c r="A2811" t="s">
        <v>13037</v>
      </c>
      <c r="B2811" t="s">
        <v>13038</v>
      </c>
      <c r="C2811" t="s">
        <v>1812</v>
      </c>
      <c r="E2811" t="s">
        <v>14555</v>
      </c>
      <c r="F2811">
        <v>4900</v>
      </c>
      <c r="G2811" t="s">
        <v>41</v>
      </c>
      <c r="H2811" t="s">
        <v>16</v>
      </c>
      <c r="I2811" t="s">
        <v>3493</v>
      </c>
      <c r="J2811" t="s">
        <v>3494</v>
      </c>
      <c r="K2811" t="s">
        <v>1809</v>
      </c>
      <c r="L2811" t="str">
        <f>HYPERLINK("https://business-monitor.ch/de/companies/1231066-aum-baumgartner?utm_source=oberaargau","PROFIL ANSEHEN")</f>
        <v>PROFIL ANSEHEN</v>
      </c>
    </row>
    <row r="2812" spans="1:12" x14ac:dyDescent="0.2">
      <c r="A2812" t="s">
        <v>6541</v>
      </c>
      <c r="B2812" t="s">
        <v>6542</v>
      </c>
      <c r="C2812" t="s">
        <v>1812</v>
      </c>
      <c r="E2812" t="s">
        <v>6543</v>
      </c>
      <c r="F2812">
        <v>4922</v>
      </c>
      <c r="G2812" t="s">
        <v>99</v>
      </c>
      <c r="H2812" t="s">
        <v>16</v>
      </c>
      <c r="I2812" t="s">
        <v>3861</v>
      </c>
      <c r="J2812" t="s">
        <v>3862</v>
      </c>
      <c r="K2812" t="s">
        <v>1809</v>
      </c>
      <c r="L2812" t="str">
        <f>HYPERLINK("https://business-monitor.ch/de/companies/232427-mhs-feng-shui-beratungen-scheidegger?utm_source=oberaargau","PROFIL ANSEHEN")</f>
        <v>PROFIL ANSEHEN</v>
      </c>
    </row>
    <row r="2813" spans="1:12" x14ac:dyDescent="0.2">
      <c r="A2813" t="s">
        <v>8268</v>
      </c>
      <c r="B2813" t="s">
        <v>8269</v>
      </c>
      <c r="C2813" t="s">
        <v>202</v>
      </c>
      <c r="E2813" t="s">
        <v>8270</v>
      </c>
      <c r="F2813">
        <v>4952</v>
      </c>
      <c r="G2813" t="s">
        <v>474</v>
      </c>
      <c r="H2813" t="s">
        <v>16</v>
      </c>
      <c r="I2813" t="s">
        <v>1245</v>
      </c>
      <c r="J2813" t="s">
        <v>1246</v>
      </c>
      <c r="K2813" t="s">
        <v>1809</v>
      </c>
      <c r="L2813" t="str">
        <f>HYPERLINK("https://business-monitor.ch/de/companies/494829-metstyle-gmbh?utm_source=oberaargau","PROFIL ANSEHEN")</f>
        <v>PROFIL ANSEHEN</v>
      </c>
    </row>
    <row r="2814" spans="1:12" x14ac:dyDescent="0.2">
      <c r="A2814" t="s">
        <v>14110</v>
      </c>
      <c r="B2814" t="s">
        <v>14111</v>
      </c>
      <c r="C2814" t="s">
        <v>202</v>
      </c>
      <c r="E2814" t="s">
        <v>3034</v>
      </c>
      <c r="F2814">
        <v>3360</v>
      </c>
      <c r="G2814" t="s">
        <v>35</v>
      </c>
      <c r="H2814" t="s">
        <v>16</v>
      </c>
      <c r="I2814" t="s">
        <v>186</v>
      </c>
      <c r="J2814" t="s">
        <v>187</v>
      </c>
      <c r="K2814" t="s">
        <v>1809</v>
      </c>
      <c r="L2814" t="str">
        <f>HYPERLINK("https://business-monitor.ch/de/companies/1295247-scr-moto-holding-gmbh?utm_source=oberaargau","PROFIL ANSEHEN")</f>
        <v>PROFIL ANSEHEN</v>
      </c>
    </row>
    <row r="2815" spans="1:12" x14ac:dyDescent="0.2">
      <c r="A2815" t="s">
        <v>5882</v>
      </c>
      <c r="B2815" t="s">
        <v>5883</v>
      </c>
      <c r="C2815" t="s">
        <v>13</v>
      </c>
      <c r="D2815" t="s">
        <v>11801</v>
      </c>
      <c r="E2815" t="s">
        <v>8267</v>
      </c>
      <c r="F2815">
        <v>4922</v>
      </c>
      <c r="G2815" t="s">
        <v>99</v>
      </c>
      <c r="H2815" t="s">
        <v>16</v>
      </c>
      <c r="I2815" t="s">
        <v>920</v>
      </c>
      <c r="J2815" t="s">
        <v>921</v>
      </c>
      <c r="K2815" t="s">
        <v>1809</v>
      </c>
      <c r="L2815" t="str">
        <f>HYPERLINK("https://business-monitor.ch/de/companies/62114-h-ernst-cie-ag?utm_source=oberaargau","PROFIL ANSEHEN")</f>
        <v>PROFIL ANSEHEN</v>
      </c>
    </row>
    <row r="2816" spans="1:12" x14ac:dyDescent="0.2">
      <c r="A2816" t="s">
        <v>10213</v>
      </c>
      <c r="B2816" t="s">
        <v>10214</v>
      </c>
      <c r="C2816" t="s">
        <v>1812</v>
      </c>
      <c r="E2816" t="s">
        <v>3649</v>
      </c>
      <c r="F2816">
        <v>3380</v>
      </c>
      <c r="G2816" t="s">
        <v>29</v>
      </c>
      <c r="H2816" t="s">
        <v>16</v>
      </c>
      <c r="I2816" t="s">
        <v>10215</v>
      </c>
      <c r="J2816" t="s">
        <v>10216</v>
      </c>
      <c r="K2816" t="s">
        <v>1809</v>
      </c>
      <c r="L2816" t="str">
        <f>HYPERLINK("https://business-monitor.ch/de/companies/613347-edelweiss-und-vorhangstuebli-kohler-madeleine?utm_source=oberaargau","PROFIL ANSEHEN")</f>
        <v>PROFIL ANSEHEN</v>
      </c>
    </row>
    <row r="2817" spans="1:12" x14ac:dyDescent="0.2">
      <c r="A2817" t="s">
        <v>4822</v>
      </c>
      <c r="B2817" t="s">
        <v>4823</v>
      </c>
      <c r="C2817" t="s">
        <v>202</v>
      </c>
      <c r="E2817" t="s">
        <v>4824</v>
      </c>
      <c r="F2817">
        <v>3365</v>
      </c>
      <c r="G2817" t="s">
        <v>2390</v>
      </c>
      <c r="H2817" t="s">
        <v>16</v>
      </c>
      <c r="I2817" t="s">
        <v>854</v>
      </c>
      <c r="J2817" t="s">
        <v>855</v>
      </c>
      <c r="K2817" t="s">
        <v>1809</v>
      </c>
      <c r="L2817" t="str">
        <f>HYPERLINK("https://business-monitor.ch/de/companies/546388-will-automation-gmbh?utm_source=oberaargau","PROFIL ANSEHEN")</f>
        <v>PROFIL ANSEHEN</v>
      </c>
    </row>
    <row r="2818" spans="1:12" x14ac:dyDescent="0.2">
      <c r="A2818" t="s">
        <v>2689</v>
      </c>
      <c r="B2818" t="s">
        <v>1089</v>
      </c>
      <c r="C2818" t="s">
        <v>2178</v>
      </c>
      <c r="E2818" t="s">
        <v>2690</v>
      </c>
      <c r="F2818">
        <v>4950</v>
      </c>
      <c r="G2818" t="s">
        <v>15</v>
      </c>
      <c r="H2818" t="s">
        <v>16</v>
      </c>
      <c r="I2818" t="s">
        <v>608</v>
      </c>
      <c r="J2818" t="s">
        <v>609</v>
      </c>
      <c r="K2818" t="s">
        <v>1809</v>
      </c>
      <c r="L2818" t="str">
        <f>HYPERLINK("https://business-monitor.ch/de/companies/471106-minder-ag-torbau?utm_source=oberaargau","PROFIL ANSEHEN")</f>
        <v>PROFIL ANSEHEN</v>
      </c>
    </row>
    <row r="2819" spans="1:12" x14ac:dyDescent="0.2">
      <c r="A2819" t="s">
        <v>3918</v>
      </c>
      <c r="B2819" t="s">
        <v>3919</v>
      </c>
      <c r="C2819" t="s">
        <v>202</v>
      </c>
      <c r="E2819" t="s">
        <v>1752</v>
      </c>
      <c r="F2819">
        <v>4537</v>
      </c>
      <c r="G2819" t="s">
        <v>113</v>
      </c>
      <c r="H2819" t="s">
        <v>16</v>
      </c>
      <c r="I2819" t="s">
        <v>935</v>
      </c>
      <c r="J2819" t="s">
        <v>936</v>
      </c>
      <c r="K2819" t="s">
        <v>1809</v>
      </c>
      <c r="L2819" t="str">
        <f>HYPERLINK("https://business-monitor.ch/de/companies/721496-hintiplan-gmbh?utm_source=oberaargau","PROFIL ANSEHEN")</f>
        <v>PROFIL ANSEHEN</v>
      </c>
    </row>
    <row r="2820" spans="1:12" x14ac:dyDescent="0.2">
      <c r="A2820" t="s">
        <v>4054</v>
      </c>
      <c r="B2820" t="s">
        <v>4055</v>
      </c>
      <c r="C2820" t="s">
        <v>202</v>
      </c>
      <c r="E2820" t="s">
        <v>4056</v>
      </c>
      <c r="F2820">
        <v>3373</v>
      </c>
      <c r="G2820" t="s">
        <v>2429</v>
      </c>
      <c r="H2820" t="s">
        <v>16</v>
      </c>
      <c r="I2820" t="s">
        <v>175</v>
      </c>
      <c r="J2820" t="s">
        <v>176</v>
      </c>
      <c r="K2820" t="s">
        <v>1809</v>
      </c>
      <c r="L2820" t="str">
        <f>HYPERLINK("https://business-monitor.ch/de/companies/609119-carrosserie-bohnenblust-gmbh?utm_source=oberaargau","PROFIL ANSEHEN")</f>
        <v>PROFIL ANSEHEN</v>
      </c>
    </row>
    <row r="2821" spans="1:12" x14ac:dyDescent="0.2">
      <c r="A2821" t="s">
        <v>6380</v>
      </c>
      <c r="B2821" t="s">
        <v>6381</v>
      </c>
      <c r="C2821" t="s">
        <v>13</v>
      </c>
      <c r="E2821" t="s">
        <v>6382</v>
      </c>
      <c r="F2821">
        <v>4917</v>
      </c>
      <c r="G2821" t="s">
        <v>376</v>
      </c>
      <c r="H2821" t="s">
        <v>16</v>
      </c>
      <c r="I2821" t="s">
        <v>624</v>
      </c>
      <c r="J2821" t="s">
        <v>625</v>
      </c>
      <c r="K2821" t="s">
        <v>1809</v>
      </c>
      <c r="L2821" t="str">
        <f>HYPERLINK("https://business-monitor.ch/de/companies/301962-schulthess-holzbau-ag?utm_source=oberaargau","PROFIL ANSEHEN")</f>
        <v>PROFIL ANSEHEN</v>
      </c>
    </row>
    <row r="2822" spans="1:12" x14ac:dyDescent="0.2">
      <c r="A2822" t="s">
        <v>13491</v>
      </c>
      <c r="B2822" t="s">
        <v>13492</v>
      </c>
      <c r="C2822" t="s">
        <v>202</v>
      </c>
      <c r="E2822" t="s">
        <v>6317</v>
      </c>
      <c r="F2822">
        <v>4704</v>
      </c>
      <c r="G2822" t="s">
        <v>221</v>
      </c>
      <c r="H2822" t="s">
        <v>16</v>
      </c>
      <c r="I2822" t="s">
        <v>186</v>
      </c>
      <c r="J2822" t="s">
        <v>187</v>
      </c>
      <c r="K2822" t="s">
        <v>1809</v>
      </c>
      <c r="L2822" t="str">
        <f>HYPERLINK("https://business-monitor.ch/de/companies/1254014-wefam-gmbh?utm_source=oberaargau","PROFIL ANSEHEN")</f>
        <v>PROFIL ANSEHEN</v>
      </c>
    </row>
    <row r="2823" spans="1:12" x14ac:dyDescent="0.2">
      <c r="A2823" t="s">
        <v>6982</v>
      </c>
      <c r="B2823" t="s">
        <v>6983</v>
      </c>
      <c r="C2823" t="s">
        <v>2258</v>
      </c>
      <c r="E2823" t="s">
        <v>3934</v>
      </c>
      <c r="F2823">
        <v>4900</v>
      </c>
      <c r="G2823" t="s">
        <v>41</v>
      </c>
      <c r="H2823" t="s">
        <v>16</v>
      </c>
      <c r="I2823" t="s">
        <v>640</v>
      </c>
      <c r="J2823" t="s">
        <v>641</v>
      </c>
      <c r="K2823" t="s">
        <v>1809</v>
      </c>
      <c r="L2823" t="str">
        <f>HYPERLINK("https://business-monitor.ch/de/companies/1026891-kulturverein-oldcapitol?utm_source=oberaargau","PROFIL ANSEHEN")</f>
        <v>PROFIL ANSEHEN</v>
      </c>
    </row>
    <row r="2824" spans="1:12" x14ac:dyDescent="0.2">
      <c r="A2824" t="s">
        <v>10808</v>
      </c>
      <c r="B2824" t="s">
        <v>10809</v>
      </c>
      <c r="C2824" t="s">
        <v>1812</v>
      </c>
      <c r="E2824" t="s">
        <v>10810</v>
      </c>
      <c r="F2824">
        <v>3373</v>
      </c>
      <c r="G2824" t="s">
        <v>2429</v>
      </c>
      <c r="H2824" t="s">
        <v>16</v>
      </c>
      <c r="I2824" t="s">
        <v>854</v>
      </c>
      <c r="J2824" t="s">
        <v>855</v>
      </c>
      <c r="K2824" t="s">
        <v>1809</v>
      </c>
      <c r="L2824" t="str">
        <f>HYPERLINK("https://business-monitor.ch/de/companies/681473-tschui-informatik?utm_source=oberaargau","PROFIL ANSEHEN")</f>
        <v>PROFIL ANSEHEN</v>
      </c>
    </row>
    <row r="2825" spans="1:12" x14ac:dyDescent="0.2">
      <c r="A2825" t="s">
        <v>12227</v>
      </c>
      <c r="B2825" t="s">
        <v>12228</v>
      </c>
      <c r="C2825" t="s">
        <v>13</v>
      </c>
      <c r="E2825" t="s">
        <v>1200</v>
      </c>
      <c r="F2825">
        <v>4900</v>
      </c>
      <c r="G2825" t="s">
        <v>41</v>
      </c>
      <c r="H2825" t="s">
        <v>16</v>
      </c>
      <c r="I2825" t="s">
        <v>935</v>
      </c>
      <c r="J2825" t="s">
        <v>936</v>
      </c>
      <c r="K2825" t="s">
        <v>1809</v>
      </c>
      <c r="L2825" t="str">
        <f>HYPERLINK("https://business-monitor.ch/de/companies/1180391-mrp-immobilien-ag?utm_source=oberaargau","PROFIL ANSEHEN")</f>
        <v>PROFIL ANSEHEN</v>
      </c>
    </row>
    <row r="2826" spans="1:12" x14ac:dyDescent="0.2">
      <c r="A2826" t="s">
        <v>10748</v>
      </c>
      <c r="B2826" t="s">
        <v>10749</v>
      </c>
      <c r="C2826" t="s">
        <v>1812</v>
      </c>
      <c r="E2826" t="s">
        <v>5784</v>
      </c>
      <c r="F2826">
        <v>3362</v>
      </c>
      <c r="G2826" t="s">
        <v>47</v>
      </c>
      <c r="H2826" t="s">
        <v>16</v>
      </c>
      <c r="I2826" t="s">
        <v>1324</v>
      </c>
      <c r="J2826" t="s">
        <v>1325</v>
      </c>
      <c r="K2826" t="s">
        <v>1809</v>
      </c>
      <c r="L2826" t="str">
        <f>HYPERLINK("https://business-monitor.ch/de/companies/1097878-ezekiel-engineering-katassou?utm_source=oberaargau","PROFIL ANSEHEN")</f>
        <v>PROFIL ANSEHEN</v>
      </c>
    </row>
    <row r="2827" spans="1:12" x14ac:dyDescent="0.2">
      <c r="A2827" t="s">
        <v>7142</v>
      </c>
      <c r="B2827" t="s">
        <v>7143</v>
      </c>
      <c r="C2827" t="s">
        <v>202</v>
      </c>
      <c r="E2827" t="s">
        <v>7144</v>
      </c>
      <c r="F2827">
        <v>4932</v>
      </c>
      <c r="G2827" t="s">
        <v>2036</v>
      </c>
      <c r="H2827" t="s">
        <v>16</v>
      </c>
      <c r="I2827" t="s">
        <v>7145</v>
      </c>
      <c r="J2827" t="s">
        <v>7146</v>
      </c>
      <c r="K2827" t="s">
        <v>1809</v>
      </c>
      <c r="L2827" t="str">
        <f>HYPERLINK("https://business-monitor.ch/de/companies/582255-panexel-gmbh?utm_source=oberaargau","PROFIL ANSEHEN")</f>
        <v>PROFIL ANSEHEN</v>
      </c>
    </row>
    <row r="2828" spans="1:12" x14ac:dyDescent="0.2">
      <c r="A2828" t="s">
        <v>13042</v>
      </c>
      <c r="B2828" t="s">
        <v>13043</v>
      </c>
      <c r="C2828" t="s">
        <v>202</v>
      </c>
      <c r="E2828" t="s">
        <v>6465</v>
      </c>
      <c r="F2828">
        <v>4900</v>
      </c>
      <c r="G2828" t="s">
        <v>41</v>
      </c>
      <c r="H2828" t="s">
        <v>16</v>
      </c>
      <c r="I2828" t="s">
        <v>824</v>
      </c>
      <c r="J2828" t="s">
        <v>825</v>
      </c>
      <c r="K2828" t="s">
        <v>1809</v>
      </c>
      <c r="L2828" t="str">
        <f>HYPERLINK("https://business-monitor.ch/de/companies/960544-s-b-gastro-gmbh?utm_source=oberaargau","PROFIL ANSEHEN")</f>
        <v>PROFIL ANSEHEN</v>
      </c>
    </row>
    <row r="2829" spans="1:12" x14ac:dyDescent="0.2">
      <c r="A2829" t="s">
        <v>9396</v>
      </c>
      <c r="B2829" t="s">
        <v>10854</v>
      </c>
      <c r="C2829" t="s">
        <v>84</v>
      </c>
      <c r="E2829" t="s">
        <v>12270</v>
      </c>
      <c r="F2829">
        <v>4912</v>
      </c>
      <c r="G2829" t="s">
        <v>64</v>
      </c>
      <c r="H2829" t="s">
        <v>16</v>
      </c>
      <c r="I2829" t="s">
        <v>906</v>
      </c>
      <c r="J2829" t="s">
        <v>907</v>
      </c>
      <c r="K2829" t="s">
        <v>1809</v>
      </c>
      <c r="L2829" t="str">
        <f>HYPERLINK("https://business-monitor.ch/de/companies/52659-baugenossenschaft-aarwangen?utm_source=oberaargau","PROFIL ANSEHEN")</f>
        <v>PROFIL ANSEHEN</v>
      </c>
    </row>
    <row r="2830" spans="1:12" x14ac:dyDescent="0.2">
      <c r="A2830" t="s">
        <v>3962</v>
      </c>
      <c r="B2830" t="s">
        <v>3963</v>
      </c>
      <c r="C2830" t="s">
        <v>1812</v>
      </c>
      <c r="E2830" t="s">
        <v>10993</v>
      </c>
      <c r="F2830">
        <v>4704</v>
      </c>
      <c r="G2830" t="s">
        <v>221</v>
      </c>
      <c r="H2830" t="s">
        <v>16</v>
      </c>
      <c r="I2830" t="s">
        <v>420</v>
      </c>
      <c r="J2830" t="s">
        <v>421</v>
      </c>
      <c r="K2830" t="s">
        <v>1809</v>
      </c>
      <c r="L2830" t="str">
        <f>HYPERLINK("https://business-monitor.ch/de/companies/1037420-stucky-s-tesla-vermietung?utm_source=oberaargau","PROFIL ANSEHEN")</f>
        <v>PROFIL ANSEHEN</v>
      </c>
    </row>
    <row r="2831" spans="1:12" x14ac:dyDescent="0.2">
      <c r="A2831" t="s">
        <v>9340</v>
      </c>
      <c r="B2831" t="s">
        <v>9341</v>
      </c>
      <c r="C2831" t="s">
        <v>202</v>
      </c>
      <c r="E2831" t="s">
        <v>9342</v>
      </c>
      <c r="F2831">
        <v>4900</v>
      </c>
      <c r="G2831" t="s">
        <v>41</v>
      </c>
      <c r="H2831" t="s">
        <v>16</v>
      </c>
      <c r="I2831" t="s">
        <v>24</v>
      </c>
      <c r="J2831" t="s">
        <v>25</v>
      </c>
      <c r="K2831" t="s">
        <v>1809</v>
      </c>
      <c r="L2831" t="str">
        <f>HYPERLINK("https://business-monitor.ch/de/companies/78332-joinpoint-informatik-gmbh?utm_source=oberaargau","PROFIL ANSEHEN")</f>
        <v>PROFIL ANSEHEN</v>
      </c>
    </row>
    <row r="2832" spans="1:12" x14ac:dyDescent="0.2">
      <c r="A2832" t="s">
        <v>13470</v>
      </c>
      <c r="B2832" t="s">
        <v>13471</v>
      </c>
      <c r="C2832" t="s">
        <v>1827</v>
      </c>
      <c r="E2832" t="s">
        <v>9693</v>
      </c>
      <c r="F2832">
        <v>4912</v>
      </c>
      <c r="G2832" t="s">
        <v>64</v>
      </c>
      <c r="H2832" t="s">
        <v>16</v>
      </c>
      <c r="I2832" t="s">
        <v>13472</v>
      </c>
      <c r="J2832" t="s">
        <v>13473</v>
      </c>
      <c r="K2832" t="s">
        <v>1809</v>
      </c>
      <c r="L2832" t="str">
        <f>HYPERLINK("https://business-monitor.ch/de/companies/1248191-die-schweiz-isst-scharf-klg?utm_source=oberaargau","PROFIL ANSEHEN")</f>
        <v>PROFIL ANSEHEN</v>
      </c>
    </row>
    <row r="2833" spans="1:12" x14ac:dyDescent="0.2">
      <c r="A2833" t="s">
        <v>5573</v>
      </c>
      <c r="B2833" t="s">
        <v>5574</v>
      </c>
      <c r="C2833" t="s">
        <v>1812</v>
      </c>
      <c r="E2833" t="s">
        <v>5575</v>
      </c>
      <c r="F2833">
        <v>4914</v>
      </c>
      <c r="G2833" t="s">
        <v>105</v>
      </c>
      <c r="H2833" t="s">
        <v>16</v>
      </c>
      <c r="I2833" t="s">
        <v>1224</v>
      </c>
      <c r="J2833" t="s">
        <v>1225</v>
      </c>
      <c r="K2833" t="s">
        <v>1809</v>
      </c>
      <c r="L2833" t="str">
        <f>HYPERLINK("https://business-monitor.ch/de/companies/397189-bk-lederveredelung-solar-inh-boesiger?utm_source=oberaargau","PROFIL ANSEHEN")</f>
        <v>PROFIL ANSEHEN</v>
      </c>
    </row>
    <row r="2834" spans="1:12" x14ac:dyDescent="0.2">
      <c r="A2834" t="s">
        <v>3901</v>
      </c>
      <c r="B2834" t="s">
        <v>3902</v>
      </c>
      <c r="C2834" t="s">
        <v>202</v>
      </c>
      <c r="E2834" t="s">
        <v>3903</v>
      </c>
      <c r="F2834">
        <v>3363</v>
      </c>
      <c r="G2834" t="s">
        <v>1367</v>
      </c>
      <c r="H2834" t="s">
        <v>16</v>
      </c>
      <c r="I2834" t="s">
        <v>91</v>
      </c>
      <c r="J2834" t="s">
        <v>92</v>
      </c>
      <c r="K2834" t="s">
        <v>1809</v>
      </c>
      <c r="L2834" t="str">
        <f>HYPERLINK("https://business-monitor.ch/de/companies/997551-volera-gmbh?utm_source=oberaargau","PROFIL ANSEHEN")</f>
        <v>PROFIL ANSEHEN</v>
      </c>
    </row>
    <row r="2835" spans="1:12" x14ac:dyDescent="0.2">
      <c r="A2835" t="s">
        <v>12333</v>
      </c>
      <c r="B2835" t="s">
        <v>12334</v>
      </c>
      <c r="C2835" t="s">
        <v>202</v>
      </c>
      <c r="E2835" t="s">
        <v>12335</v>
      </c>
      <c r="F2835">
        <v>4537</v>
      </c>
      <c r="G2835" t="s">
        <v>113</v>
      </c>
      <c r="H2835" t="s">
        <v>16</v>
      </c>
      <c r="I2835" t="s">
        <v>7350</v>
      </c>
      <c r="J2835" t="s">
        <v>7351</v>
      </c>
      <c r="K2835" t="s">
        <v>1809</v>
      </c>
      <c r="L2835" t="str">
        <f>HYPERLINK("https://business-monitor.ch/de/companies/992418-my-umzuege-gmbh?utm_source=oberaargau","PROFIL ANSEHEN")</f>
        <v>PROFIL ANSEHEN</v>
      </c>
    </row>
    <row r="2836" spans="1:12" x14ac:dyDescent="0.2">
      <c r="A2836" t="s">
        <v>5606</v>
      </c>
      <c r="B2836" t="s">
        <v>5607</v>
      </c>
      <c r="C2836" t="s">
        <v>13</v>
      </c>
      <c r="E2836" t="s">
        <v>5608</v>
      </c>
      <c r="F2836">
        <v>3360</v>
      </c>
      <c r="G2836" t="s">
        <v>35</v>
      </c>
      <c r="H2836" t="s">
        <v>16</v>
      </c>
      <c r="I2836" t="s">
        <v>1324</v>
      </c>
      <c r="J2836" t="s">
        <v>1325</v>
      </c>
      <c r="K2836" t="s">
        <v>1809</v>
      </c>
      <c r="L2836" t="str">
        <f>HYPERLINK("https://business-monitor.ch/de/companies/510420-aeschbach-peter-ag?utm_source=oberaargau","PROFIL ANSEHEN")</f>
        <v>PROFIL ANSEHEN</v>
      </c>
    </row>
    <row r="2837" spans="1:12" x14ac:dyDescent="0.2">
      <c r="A2837" t="s">
        <v>11548</v>
      </c>
      <c r="B2837" t="s">
        <v>11549</v>
      </c>
      <c r="C2837" t="s">
        <v>202</v>
      </c>
      <c r="E2837" t="s">
        <v>12197</v>
      </c>
      <c r="F2837">
        <v>4950</v>
      </c>
      <c r="G2837" t="s">
        <v>15</v>
      </c>
      <c r="H2837" t="s">
        <v>16</v>
      </c>
      <c r="I2837" t="s">
        <v>11550</v>
      </c>
      <c r="J2837" t="s">
        <v>11551</v>
      </c>
      <c r="K2837" t="s">
        <v>1809</v>
      </c>
      <c r="L2837" t="str">
        <f>HYPERLINK("https://business-monitor.ch/de/companies/1148666-kiri-seafood-gmbh?utm_source=oberaargau","PROFIL ANSEHEN")</f>
        <v>PROFIL ANSEHEN</v>
      </c>
    </row>
    <row r="2838" spans="1:12" x14ac:dyDescent="0.2">
      <c r="A2838" t="s">
        <v>12344</v>
      </c>
      <c r="B2838" t="s">
        <v>12345</v>
      </c>
      <c r="C2838" t="s">
        <v>1812</v>
      </c>
      <c r="E2838" t="s">
        <v>12346</v>
      </c>
      <c r="F2838">
        <v>4912</v>
      </c>
      <c r="G2838" t="s">
        <v>64</v>
      </c>
      <c r="H2838" t="s">
        <v>16</v>
      </c>
      <c r="I2838" t="s">
        <v>733</v>
      </c>
      <c r="J2838" t="s">
        <v>734</v>
      </c>
      <c r="K2838" t="s">
        <v>1809</v>
      </c>
      <c r="L2838" t="str">
        <f>HYPERLINK("https://business-monitor.ch/de/companies/440351-auto-blau-lazrak-mohammed?utm_source=oberaargau","PROFIL ANSEHEN")</f>
        <v>PROFIL ANSEHEN</v>
      </c>
    </row>
    <row r="2839" spans="1:12" x14ac:dyDescent="0.2">
      <c r="A2839" t="s">
        <v>4242</v>
      </c>
      <c r="B2839" t="s">
        <v>4243</v>
      </c>
      <c r="C2839" t="s">
        <v>202</v>
      </c>
      <c r="E2839" t="s">
        <v>3742</v>
      </c>
      <c r="F2839">
        <v>4900</v>
      </c>
      <c r="G2839" t="s">
        <v>41</v>
      </c>
      <c r="H2839" t="s">
        <v>16</v>
      </c>
      <c r="I2839" t="s">
        <v>1855</v>
      </c>
      <c r="J2839" t="s">
        <v>1856</v>
      </c>
      <c r="K2839" t="s">
        <v>1809</v>
      </c>
      <c r="L2839" t="str">
        <f>HYPERLINK("https://business-monitor.ch/de/companies/990491-loft5-kosmetik-widmer-gmbh?utm_source=oberaargau","PROFIL ANSEHEN")</f>
        <v>PROFIL ANSEHEN</v>
      </c>
    </row>
    <row r="2840" spans="1:12" x14ac:dyDescent="0.2">
      <c r="A2840" t="s">
        <v>3635</v>
      </c>
      <c r="B2840" t="s">
        <v>9348</v>
      </c>
      <c r="C2840" t="s">
        <v>13</v>
      </c>
      <c r="E2840" t="s">
        <v>9349</v>
      </c>
      <c r="F2840">
        <v>4934</v>
      </c>
      <c r="G2840" t="s">
        <v>670</v>
      </c>
      <c r="H2840" t="s">
        <v>16</v>
      </c>
      <c r="I2840" t="s">
        <v>906</v>
      </c>
      <c r="J2840" t="s">
        <v>907</v>
      </c>
      <c r="K2840" t="s">
        <v>1809</v>
      </c>
      <c r="L2840" t="str">
        <f>HYPERLINK("https://business-monitor.ch/de/companies/74282-stegemann-ag?utm_source=oberaargau","PROFIL ANSEHEN")</f>
        <v>PROFIL ANSEHEN</v>
      </c>
    </row>
    <row r="2841" spans="1:12" x14ac:dyDescent="0.2">
      <c r="A2841" t="s">
        <v>3629</v>
      </c>
      <c r="B2841" t="s">
        <v>3630</v>
      </c>
      <c r="C2841" t="s">
        <v>13</v>
      </c>
      <c r="E2841" t="s">
        <v>3631</v>
      </c>
      <c r="F2841">
        <v>4704</v>
      </c>
      <c r="G2841" t="s">
        <v>221</v>
      </c>
      <c r="H2841" t="s">
        <v>16</v>
      </c>
      <c r="I2841" t="s">
        <v>260</v>
      </c>
      <c r="J2841" t="s">
        <v>261</v>
      </c>
      <c r="K2841" t="s">
        <v>1809</v>
      </c>
      <c r="L2841" t="str">
        <f>HYPERLINK("https://business-monitor.ch/de/companies/70348-born-ag?utm_source=oberaargau","PROFIL ANSEHEN")</f>
        <v>PROFIL ANSEHEN</v>
      </c>
    </row>
    <row r="2842" spans="1:12" x14ac:dyDescent="0.2">
      <c r="A2842" t="s">
        <v>9147</v>
      </c>
      <c r="B2842" t="s">
        <v>9148</v>
      </c>
      <c r="C2842" t="s">
        <v>13</v>
      </c>
      <c r="E2842" t="s">
        <v>7213</v>
      </c>
      <c r="F2842">
        <v>4934</v>
      </c>
      <c r="G2842" t="s">
        <v>670</v>
      </c>
      <c r="H2842" t="s">
        <v>16</v>
      </c>
      <c r="I2842" t="s">
        <v>9149</v>
      </c>
      <c r="J2842" t="s">
        <v>9150</v>
      </c>
      <c r="K2842" t="s">
        <v>1809</v>
      </c>
      <c r="L2842" t="str">
        <f>HYPERLINK("https://business-monitor.ch/de/companies/171596-nobs-hydraulik-ag?utm_source=oberaargau","PROFIL ANSEHEN")</f>
        <v>PROFIL ANSEHEN</v>
      </c>
    </row>
    <row r="2843" spans="1:12" x14ac:dyDescent="0.2">
      <c r="A2843" t="s">
        <v>10986</v>
      </c>
      <c r="B2843" t="s">
        <v>10987</v>
      </c>
      <c r="C2843" t="s">
        <v>13</v>
      </c>
      <c r="E2843" t="s">
        <v>85</v>
      </c>
      <c r="F2843">
        <v>3362</v>
      </c>
      <c r="G2843" t="s">
        <v>47</v>
      </c>
      <c r="H2843" t="s">
        <v>16</v>
      </c>
      <c r="I2843" t="s">
        <v>640</v>
      </c>
      <c r="J2843" t="s">
        <v>641</v>
      </c>
      <c r="K2843" t="s">
        <v>1809</v>
      </c>
      <c r="L2843" t="str">
        <f>HYPERLINK("https://business-monitor.ch/de/companies/977370-kleintiere-schweiz-ag?utm_source=oberaargau","PROFIL ANSEHEN")</f>
        <v>PROFIL ANSEHEN</v>
      </c>
    </row>
    <row r="2844" spans="1:12" x14ac:dyDescent="0.2">
      <c r="A2844" t="s">
        <v>13405</v>
      </c>
      <c r="B2844" t="s">
        <v>13406</v>
      </c>
      <c r="C2844" t="s">
        <v>202</v>
      </c>
      <c r="E2844" t="s">
        <v>4717</v>
      </c>
      <c r="F2844">
        <v>4900</v>
      </c>
      <c r="G2844" t="s">
        <v>41</v>
      </c>
      <c r="H2844" t="s">
        <v>16</v>
      </c>
      <c r="I2844" t="s">
        <v>551</v>
      </c>
      <c r="J2844" t="s">
        <v>552</v>
      </c>
      <c r="K2844" t="s">
        <v>1809</v>
      </c>
      <c r="L2844" t="str">
        <f>HYPERLINK("https://business-monitor.ch/de/companies/1245634-lk-andra-gmbh?utm_source=oberaargau","PROFIL ANSEHEN")</f>
        <v>PROFIL ANSEHEN</v>
      </c>
    </row>
    <row r="2845" spans="1:12" x14ac:dyDescent="0.2">
      <c r="A2845" t="s">
        <v>9327</v>
      </c>
      <c r="B2845" t="s">
        <v>9328</v>
      </c>
      <c r="C2845" t="s">
        <v>13</v>
      </c>
      <c r="D2845" t="s">
        <v>5210</v>
      </c>
      <c r="E2845" t="s">
        <v>1200</v>
      </c>
      <c r="F2845">
        <v>4900</v>
      </c>
      <c r="G2845" t="s">
        <v>41</v>
      </c>
      <c r="H2845" t="s">
        <v>16</v>
      </c>
      <c r="I2845" t="s">
        <v>157</v>
      </c>
      <c r="J2845" t="s">
        <v>158</v>
      </c>
      <c r="K2845" t="s">
        <v>1809</v>
      </c>
      <c r="L2845" t="str">
        <f>HYPERLINK("https://business-monitor.ch/de/companies/86766-ulmue-ag?utm_source=oberaargau","PROFIL ANSEHEN")</f>
        <v>PROFIL ANSEHEN</v>
      </c>
    </row>
    <row r="2846" spans="1:12" x14ac:dyDescent="0.2">
      <c r="A2846" t="s">
        <v>12816</v>
      </c>
      <c r="B2846" t="s">
        <v>12817</v>
      </c>
      <c r="C2846" t="s">
        <v>1812</v>
      </c>
      <c r="E2846" t="s">
        <v>4412</v>
      </c>
      <c r="F2846">
        <v>4900</v>
      </c>
      <c r="G2846" t="s">
        <v>41</v>
      </c>
      <c r="H2846" t="s">
        <v>16</v>
      </c>
      <c r="I2846" t="s">
        <v>2939</v>
      </c>
      <c r="J2846" t="s">
        <v>2940</v>
      </c>
      <c r="K2846" t="s">
        <v>1809</v>
      </c>
      <c r="L2846" t="str">
        <f>HYPERLINK("https://business-monitor.ch/de/companies/1217799-nik-rindlisbacher-klavierbauer?utm_source=oberaargau","PROFIL ANSEHEN")</f>
        <v>PROFIL ANSEHEN</v>
      </c>
    </row>
    <row r="2847" spans="1:12" x14ac:dyDescent="0.2">
      <c r="A2847" t="s">
        <v>11635</v>
      </c>
      <c r="B2847" t="s">
        <v>11636</v>
      </c>
      <c r="C2847" t="s">
        <v>1812</v>
      </c>
      <c r="E2847" t="s">
        <v>11637</v>
      </c>
      <c r="F2847">
        <v>4704</v>
      </c>
      <c r="G2847" t="s">
        <v>221</v>
      </c>
      <c r="H2847" t="s">
        <v>16</v>
      </c>
      <c r="I2847" t="s">
        <v>7050</v>
      </c>
      <c r="J2847" t="s">
        <v>7051</v>
      </c>
      <c r="K2847" t="s">
        <v>1809</v>
      </c>
      <c r="L2847" t="str">
        <f>HYPERLINK("https://business-monitor.ch/de/companies/1159538-balsiger-zigarr-bb?utm_source=oberaargau","PROFIL ANSEHEN")</f>
        <v>PROFIL ANSEHEN</v>
      </c>
    </row>
    <row r="2848" spans="1:12" x14ac:dyDescent="0.2">
      <c r="A2848" t="s">
        <v>2807</v>
      </c>
      <c r="B2848" t="s">
        <v>2808</v>
      </c>
      <c r="C2848" t="s">
        <v>13</v>
      </c>
      <c r="E2848" t="s">
        <v>2133</v>
      </c>
      <c r="F2848">
        <v>4952</v>
      </c>
      <c r="G2848" t="s">
        <v>474</v>
      </c>
      <c r="H2848" t="s">
        <v>16</v>
      </c>
      <c r="I2848" t="s">
        <v>281</v>
      </c>
      <c r="J2848" t="s">
        <v>282</v>
      </c>
      <c r="K2848" t="s">
        <v>1809</v>
      </c>
      <c r="L2848" t="str">
        <f>HYPERLINK("https://business-monitor.ch/de/companies/246314-nyfarm-ag?utm_source=oberaargau","PROFIL ANSEHEN")</f>
        <v>PROFIL ANSEHEN</v>
      </c>
    </row>
    <row r="2849" spans="1:12" x14ac:dyDescent="0.2">
      <c r="A2849" t="s">
        <v>8366</v>
      </c>
      <c r="B2849" t="s">
        <v>8367</v>
      </c>
      <c r="C2849" t="s">
        <v>1812</v>
      </c>
      <c r="E2849" t="s">
        <v>8368</v>
      </c>
      <c r="F2849">
        <v>4934</v>
      </c>
      <c r="G2849" t="s">
        <v>670</v>
      </c>
      <c r="H2849" t="s">
        <v>16</v>
      </c>
      <c r="I2849" t="s">
        <v>551</v>
      </c>
      <c r="J2849" t="s">
        <v>552</v>
      </c>
      <c r="K2849" t="s">
        <v>1809</v>
      </c>
      <c r="L2849" t="str">
        <f>HYPERLINK("https://business-monitor.ch/de/companies/177996-masgo-marketing-services-sales-gomez?utm_source=oberaargau","PROFIL ANSEHEN")</f>
        <v>PROFIL ANSEHEN</v>
      </c>
    </row>
    <row r="2850" spans="1:12" x14ac:dyDescent="0.2">
      <c r="A2850" t="s">
        <v>7453</v>
      </c>
      <c r="B2850" t="s">
        <v>7454</v>
      </c>
      <c r="C2850" t="s">
        <v>202</v>
      </c>
      <c r="E2850" t="s">
        <v>7455</v>
      </c>
      <c r="F2850">
        <v>4922</v>
      </c>
      <c r="G2850" t="s">
        <v>99</v>
      </c>
      <c r="H2850" t="s">
        <v>16</v>
      </c>
      <c r="I2850" t="s">
        <v>551</v>
      </c>
      <c r="J2850" t="s">
        <v>552</v>
      </c>
      <c r="K2850" t="s">
        <v>1809</v>
      </c>
      <c r="L2850" t="str">
        <f>HYPERLINK("https://business-monitor.ch/de/companies/940770-m-o-gmbh?utm_source=oberaargau","PROFIL ANSEHEN")</f>
        <v>PROFIL ANSEHEN</v>
      </c>
    </row>
    <row r="2851" spans="1:12" x14ac:dyDescent="0.2">
      <c r="A2851" t="s">
        <v>12460</v>
      </c>
      <c r="B2851" t="s">
        <v>12461</v>
      </c>
      <c r="C2851" t="s">
        <v>13</v>
      </c>
      <c r="D2851" t="s">
        <v>12462</v>
      </c>
      <c r="E2851" t="s">
        <v>12463</v>
      </c>
      <c r="F2851">
        <v>4954</v>
      </c>
      <c r="G2851" t="s">
        <v>359</v>
      </c>
      <c r="H2851" t="s">
        <v>16</v>
      </c>
      <c r="I2851" t="s">
        <v>186</v>
      </c>
      <c r="J2851" t="s">
        <v>187</v>
      </c>
      <c r="K2851" t="s">
        <v>1809</v>
      </c>
      <c r="L2851" t="str">
        <f>HYPERLINK("https://business-monitor.ch/de/companies/1210455-onda-holding-ag?utm_source=oberaargau","PROFIL ANSEHEN")</f>
        <v>PROFIL ANSEHEN</v>
      </c>
    </row>
    <row r="2852" spans="1:12" x14ac:dyDescent="0.2">
      <c r="A2852" t="s">
        <v>1991</v>
      </c>
      <c r="B2852" t="s">
        <v>1992</v>
      </c>
      <c r="C2852" t="s">
        <v>13</v>
      </c>
      <c r="E2852" t="s">
        <v>947</v>
      </c>
      <c r="F2852">
        <v>4900</v>
      </c>
      <c r="G2852" t="s">
        <v>41</v>
      </c>
      <c r="H2852" t="s">
        <v>16</v>
      </c>
      <c r="I2852" t="s">
        <v>1993</v>
      </c>
      <c r="J2852" t="s">
        <v>1994</v>
      </c>
      <c r="K2852" t="s">
        <v>1809</v>
      </c>
      <c r="L2852" t="str">
        <f>HYPERLINK("https://business-monitor.ch/de/companies/202052-tona-ag-langenthal?utm_source=oberaargau","PROFIL ANSEHEN")</f>
        <v>PROFIL ANSEHEN</v>
      </c>
    </row>
    <row r="2853" spans="1:12" x14ac:dyDescent="0.2">
      <c r="A2853" t="s">
        <v>516</v>
      </c>
      <c r="B2853" t="s">
        <v>5939</v>
      </c>
      <c r="C2853" t="s">
        <v>13</v>
      </c>
      <c r="E2853" t="s">
        <v>3158</v>
      </c>
      <c r="F2853">
        <v>4704</v>
      </c>
      <c r="G2853" t="s">
        <v>221</v>
      </c>
      <c r="H2853" t="s">
        <v>16</v>
      </c>
      <c r="I2853" t="s">
        <v>966</v>
      </c>
      <c r="J2853" t="s">
        <v>967</v>
      </c>
      <c r="K2853" t="s">
        <v>1809</v>
      </c>
      <c r="L2853" t="str">
        <f>HYPERLINK("https://business-monitor.ch/de/companies/60240-reber-immobilien-ag?utm_source=oberaargau","PROFIL ANSEHEN")</f>
        <v>PROFIL ANSEHEN</v>
      </c>
    </row>
    <row r="2854" spans="1:12" x14ac:dyDescent="0.2">
      <c r="A2854" t="s">
        <v>2854</v>
      </c>
      <c r="B2854" t="s">
        <v>2855</v>
      </c>
      <c r="C2854" t="s">
        <v>13</v>
      </c>
      <c r="E2854" t="s">
        <v>2856</v>
      </c>
      <c r="F2854">
        <v>4938</v>
      </c>
      <c r="G2854" t="s">
        <v>618</v>
      </c>
      <c r="H2854" t="s">
        <v>16</v>
      </c>
      <c r="I2854" t="s">
        <v>624</v>
      </c>
      <c r="J2854" t="s">
        <v>625</v>
      </c>
      <c r="K2854" t="s">
        <v>1809</v>
      </c>
      <c r="L2854" t="str">
        <f>HYPERLINK("https://business-monitor.ch/de/companies/457719-lanz-holzbau-ag?utm_source=oberaargau","PROFIL ANSEHEN")</f>
        <v>PROFIL ANSEHEN</v>
      </c>
    </row>
    <row r="2855" spans="1:12" x14ac:dyDescent="0.2">
      <c r="A2855" t="s">
        <v>4372</v>
      </c>
      <c r="B2855" t="s">
        <v>4373</v>
      </c>
      <c r="C2855" t="s">
        <v>202</v>
      </c>
      <c r="E2855" t="s">
        <v>4374</v>
      </c>
      <c r="F2855">
        <v>4955</v>
      </c>
      <c r="G2855" t="s">
        <v>684</v>
      </c>
      <c r="H2855" t="s">
        <v>16</v>
      </c>
      <c r="I2855" t="s">
        <v>3876</v>
      </c>
      <c r="J2855" t="s">
        <v>3877</v>
      </c>
      <c r="K2855" t="s">
        <v>1809</v>
      </c>
      <c r="L2855" t="str">
        <f>HYPERLINK("https://business-monitor.ch/de/companies/953141-fuerobeholzwoerm-gmbh?utm_source=oberaargau","PROFIL ANSEHEN")</f>
        <v>PROFIL ANSEHEN</v>
      </c>
    </row>
    <row r="2856" spans="1:12" x14ac:dyDescent="0.2">
      <c r="A2856" t="s">
        <v>13442</v>
      </c>
      <c r="B2856" t="s">
        <v>14232</v>
      </c>
      <c r="C2856" t="s">
        <v>13</v>
      </c>
      <c r="E2856" t="s">
        <v>1824</v>
      </c>
      <c r="F2856">
        <v>4704</v>
      </c>
      <c r="G2856" t="s">
        <v>221</v>
      </c>
      <c r="H2856" t="s">
        <v>16</v>
      </c>
      <c r="I2856" t="s">
        <v>642</v>
      </c>
      <c r="J2856" t="s">
        <v>643</v>
      </c>
      <c r="K2856" t="s">
        <v>1809</v>
      </c>
      <c r="L2856" t="str">
        <f>HYPERLINK("https://business-monitor.ch/de/companies/1244591-acn-auto-ag?utm_source=oberaargau","PROFIL ANSEHEN")</f>
        <v>PROFIL ANSEHEN</v>
      </c>
    </row>
    <row r="2857" spans="1:12" x14ac:dyDescent="0.2">
      <c r="A2857" t="s">
        <v>6030</v>
      </c>
      <c r="B2857" t="s">
        <v>6073</v>
      </c>
      <c r="C2857" t="s">
        <v>202</v>
      </c>
      <c r="E2857" t="s">
        <v>6074</v>
      </c>
      <c r="F2857">
        <v>4952</v>
      </c>
      <c r="G2857" t="s">
        <v>474</v>
      </c>
      <c r="H2857" t="s">
        <v>16</v>
      </c>
      <c r="I2857" t="s">
        <v>4277</v>
      </c>
      <c r="J2857" t="s">
        <v>4278</v>
      </c>
      <c r="K2857" t="s">
        <v>1809</v>
      </c>
      <c r="L2857" t="str">
        <f>HYPERLINK("https://business-monitor.ch/de/companies/414844-ruch-bau-gmbh?utm_source=oberaargau","PROFIL ANSEHEN")</f>
        <v>PROFIL ANSEHEN</v>
      </c>
    </row>
    <row r="2858" spans="1:12" x14ac:dyDescent="0.2">
      <c r="A2858" t="s">
        <v>2016</v>
      </c>
      <c r="B2858" t="s">
        <v>2017</v>
      </c>
      <c r="C2858" t="s">
        <v>1812</v>
      </c>
      <c r="E2858" t="s">
        <v>2018</v>
      </c>
      <c r="F2858">
        <v>4934</v>
      </c>
      <c r="G2858" t="s">
        <v>670</v>
      </c>
      <c r="H2858" t="s">
        <v>16</v>
      </c>
      <c r="I2858" t="s">
        <v>2019</v>
      </c>
      <c r="J2858" t="s">
        <v>2020</v>
      </c>
      <c r="K2858" t="s">
        <v>1809</v>
      </c>
      <c r="L2858" t="str">
        <f>HYPERLINK("https://business-monitor.ch/de/companies/178652-della-neve-baumontage?utm_source=oberaargau","PROFIL ANSEHEN")</f>
        <v>PROFIL ANSEHEN</v>
      </c>
    </row>
    <row r="2859" spans="1:12" x14ac:dyDescent="0.2">
      <c r="A2859" t="s">
        <v>13474</v>
      </c>
      <c r="B2859" t="s">
        <v>13475</v>
      </c>
      <c r="C2859" t="s">
        <v>13</v>
      </c>
      <c r="D2859" t="s">
        <v>13476</v>
      </c>
      <c r="E2859" t="s">
        <v>13477</v>
      </c>
      <c r="F2859">
        <v>3373</v>
      </c>
      <c r="G2859" t="s">
        <v>2697</v>
      </c>
      <c r="H2859" t="s">
        <v>16</v>
      </c>
      <c r="I2859" t="s">
        <v>642</v>
      </c>
      <c r="J2859" t="s">
        <v>643</v>
      </c>
      <c r="K2859" t="s">
        <v>1809</v>
      </c>
      <c r="L2859" t="str">
        <f>HYPERLINK("https://business-monitor.ch/de/companies/1251880-kranliker-service-ag?utm_source=oberaargau","PROFIL ANSEHEN")</f>
        <v>PROFIL ANSEHEN</v>
      </c>
    </row>
    <row r="2860" spans="1:12" x14ac:dyDescent="0.2">
      <c r="A2860" t="s">
        <v>10969</v>
      </c>
      <c r="B2860" t="s">
        <v>10970</v>
      </c>
      <c r="C2860" t="s">
        <v>202</v>
      </c>
      <c r="D2860" t="s">
        <v>10971</v>
      </c>
      <c r="E2860" t="s">
        <v>10765</v>
      </c>
      <c r="F2860">
        <v>4900</v>
      </c>
      <c r="G2860" t="s">
        <v>41</v>
      </c>
      <c r="H2860" t="s">
        <v>16</v>
      </c>
      <c r="I2860" t="s">
        <v>186</v>
      </c>
      <c r="J2860" t="s">
        <v>187</v>
      </c>
      <c r="K2860" t="s">
        <v>1809</v>
      </c>
      <c r="L2860" t="str">
        <f>HYPERLINK("https://business-monitor.ch/de/companies/1108475-pinelands-gmbh?utm_source=oberaargau","PROFIL ANSEHEN")</f>
        <v>PROFIL ANSEHEN</v>
      </c>
    </row>
    <row r="2861" spans="1:12" x14ac:dyDescent="0.2">
      <c r="A2861" t="s">
        <v>7103</v>
      </c>
      <c r="B2861" t="s">
        <v>7104</v>
      </c>
      <c r="C2861" t="s">
        <v>202</v>
      </c>
      <c r="E2861" t="s">
        <v>3966</v>
      </c>
      <c r="F2861">
        <v>3360</v>
      </c>
      <c r="G2861" t="s">
        <v>35</v>
      </c>
      <c r="H2861" t="s">
        <v>16</v>
      </c>
      <c r="I2861" t="s">
        <v>2587</v>
      </c>
      <c r="J2861" t="s">
        <v>2588</v>
      </c>
      <c r="K2861" t="s">
        <v>1809</v>
      </c>
      <c r="L2861" t="str">
        <f>HYPERLINK("https://business-monitor.ch/de/companies/726992-rapnika-gmbh?utm_source=oberaargau","PROFIL ANSEHEN")</f>
        <v>PROFIL ANSEHEN</v>
      </c>
    </row>
    <row r="2862" spans="1:12" x14ac:dyDescent="0.2">
      <c r="A2862" t="s">
        <v>8246</v>
      </c>
      <c r="B2862" t="s">
        <v>8247</v>
      </c>
      <c r="C2862" t="s">
        <v>202</v>
      </c>
      <c r="E2862" t="s">
        <v>8248</v>
      </c>
      <c r="F2862">
        <v>4704</v>
      </c>
      <c r="G2862" t="s">
        <v>221</v>
      </c>
      <c r="H2862" t="s">
        <v>16</v>
      </c>
      <c r="I2862" t="s">
        <v>1446</v>
      </c>
      <c r="J2862" t="s">
        <v>1447</v>
      </c>
      <c r="K2862" t="s">
        <v>1809</v>
      </c>
      <c r="L2862" t="str">
        <f>HYPERLINK("https://business-monitor.ch/de/companies/1084782-balatti-gmbh?utm_source=oberaargau","PROFIL ANSEHEN")</f>
        <v>PROFIL ANSEHEN</v>
      </c>
    </row>
    <row r="2863" spans="1:12" x14ac:dyDescent="0.2">
      <c r="A2863" t="s">
        <v>8836</v>
      </c>
      <c r="B2863" t="s">
        <v>8837</v>
      </c>
      <c r="C2863" t="s">
        <v>13</v>
      </c>
      <c r="E2863" t="s">
        <v>8838</v>
      </c>
      <c r="F2863">
        <v>4914</v>
      </c>
      <c r="G2863" t="s">
        <v>717</v>
      </c>
      <c r="H2863" t="s">
        <v>16</v>
      </c>
      <c r="I2863" t="s">
        <v>331</v>
      </c>
      <c r="J2863" t="s">
        <v>332</v>
      </c>
      <c r="K2863" t="s">
        <v>1809</v>
      </c>
      <c r="L2863" t="str">
        <f>HYPERLINK("https://business-monitor.ch/de/companies/333641-hoenger-ag?utm_source=oberaargau","PROFIL ANSEHEN")</f>
        <v>PROFIL ANSEHEN</v>
      </c>
    </row>
    <row r="2864" spans="1:12" x14ac:dyDescent="0.2">
      <c r="A2864" t="s">
        <v>12500</v>
      </c>
      <c r="B2864" t="s">
        <v>12501</v>
      </c>
      <c r="C2864" t="s">
        <v>2010</v>
      </c>
      <c r="E2864" t="s">
        <v>12502</v>
      </c>
      <c r="F2864">
        <v>4934</v>
      </c>
      <c r="G2864" t="s">
        <v>670</v>
      </c>
      <c r="H2864" t="s">
        <v>16</v>
      </c>
      <c r="I2864" t="s">
        <v>1535</v>
      </c>
      <c r="J2864" t="s">
        <v>1536</v>
      </c>
      <c r="K2864" t="s">
        <v>1809</v>
      </c>
      <c r="L2864" t="str">
        <f>HYPERLINK("https://business-monitor.ch/de/companies/1210508-scherer-per-tuts-kmg?utm_source=oberaargau","PROFIL ANSEHEN")</f>
        <v>PROFIL ANSEHEN</v>
      </c>
    </row>
    <row r="2865" spans="1:12" x14ac:dyDescent="0.2">
      <c r="A2865" t="s">
        <v>8335</v>
      </c>
      <c r="B2865" t="s">
        <v>8336</v>
      </c>
      <c r="C2865" t="s">
        <v>1922</v>
      </c>
      <c r="D2865" t="s">
        <v>8337</v>
      </c>
      <c r="E2865" t="s">
        <v>129</v>
      </c>
      <c r="F2865">
        <v>4900</v>
      </c>
      <c r="G2865" t="s">
        <v>41</v>
      </c>
      <c r="H2865" t="s">
        <v>16</v>
      </c>
      <c r="I2865" t="s">
        <v>2116</v>
      </c>
      <c r="J2865" t="s">
        <v>2117</v>
      </c>
      <c r="K2865" t="s">
        <v>1809</v>
      </c>
      <c r="L2865" t="str">
        <f>HYPERLINK("https://business-monitor.ch/de/companies/255339-personalvorsorgestiftung-der-lantal-textiles?utm_source=oberaargau","PROFIL ANSEHEN")</f>
        <v>PROFIL ANSEHEN</v>
      </c>
    </row>
    <row r="2866" spans="1:12" x14ac:dyDescent="0.2">
      <c r="A2866" t="s">
        <v>2817</v>
      </c>
      <c r="B2866" t="s">
        <v>2818</v>
      </c>
      <c r="C2866" t="s">
        <v>13</v>
      </c>
      <c r="E2866" t="s">
        <v>10845</v>
      </c>
      <c r="F2866">
        <v>4922</v>
      </c>
      <c r="G2866" t="s">
        <v>99</v>
      </c>
      <c r="H2866" t="s">
        <v>16</v>
      </c>
      <c r="I2866" t="s">
        <v>966</v>
      </c>
      <c r="J2866" t="s">
        <v>967</v>
      </c>
      <c r="K2866" t="s">
        <v>1809</v>
      </c>
      <c r="L2866" t="str">
        <f>HYPERLINK("https://business-monitor.ch/de/companies/423496-adviaris-immobilien-ag?utm_source=oberaargau","PROFIL ANSEHEN")</f>
        <v>PROFIL ANSEHEN</v>
      </c>
    </row>
    <row r="2867" spans="1:12" x14ac:dyDescent="0.2">
      <c r="A2867" t="s">
        <v>6276</v>
      </c>
      <c r="B2867" t="s">
        <v>6277</v>
      </c>
      <c r="C2867" t="s">
        <v>202</v>
      </c>
      <c r="E2867" t="s">
        <v>1956</v>
      </c>
      <c r="F2867">
        <v>3360</v>
      </c>
      <c r="G2867" t="s">
        <v>35</v>
      </c>
      <c r="H2867" t="s">
        <v>16</v>
      </c>
      <c r="I2867" t="s">
        <v>260</v>
      </c>
      <c r="J2867" t="s">
        <v>261</v>
      </c>
      <c r="K2867" t="s">
        <v>1809</v>
      </c>
      <c r="L2867" t="str">
        <f>HYPERLINK("https://business-monitor.ch/de/companies/342054-carmotec-gmbh?utm_source=oberaargau","PROFIL ANSEHEN")</f>
        <v>PROFIL ANSEHEN</v>
      </c>
    </row>
    <row r="2868" spans="1:12" x14ac:dyDescent="0.2">
      <c r="A2868" t="s">
        <v>14338</v>
      </c>
      <c r="B2868" t="s">
        <v>14339</v>
      </c>
      <c r="C2868" t="s">
        <v>202</v>
      </c>
      <c r="E2868" t="s">
        <v>11977</v>
      </c>
      <c r="F2868">
        <v>4900</v>
      </c>
      <c r="G2868" t="s">
        <v>41</v>
      </c>
      <c r="H2868" t="s">
        <v>16</v>
      </c>
      <c r="I2868" t="s">
        <v>1865</v>
      </c>
      <c r="J2868" t="s">
        <v>1866</v>
      </c>
      <c r="K2868" t="s">
        <v>1809</v>
      </c>
      <c r="L2868" t="str">
        <f>HYPERLINK("https://business-monitor.ch/de/companies/1294693-putzstern-schneeberger-gmbh?utm_source=oberaargau","PROFIL ANSEHEN")</f>
        <v>PROFIL ANSEHEN</v>
      </c>
    </row>
    <row r="2869" spans="1:12" x14ac:dyDescent="0.2">
      <c r="A2869" t="s">
        <v>11995</v>
      </c>
      <c r="B2869" t="s">
        <v>11996</v>
      </c>
      <c r="C2869" t="s">
        <v>202</v>
      </c>
      <c r="E2869" t="s">
        <v>11997</v>
      </c>
      <c r="F2869">
        <v>3377</v>
      </c>
      <c r="G2869" t="s">
        <v>1307</v>
      </c>
      <c r="H2869" t="s">
        <v>16</v>
      </c>
      <c r="I2869" t="s">
        <v>624</v>
      </c>
      <c r="J2869" t="s">
        <v>625</v>
      </c>
      <c r="K2869" t="s">
        <v>1809</v>
      </c>
      <c r="L2869" t="str">
        <f>HYPERLINK("https://business-monitor.ch/de/companies/1172019-simon-mathys-gmbh?utm_source=oberaargau","PROFIL ANSEHEN")</f>
        <v>PROFIL ANSEHEN</v>
      </c>
    </row>
    <row r="2870" spans="1:12" x14ac:dyDescent="0.2">
      <c r="A2870" t="s">
        <v>9877</v>
      </c>
      <c r="B2870" t="s">
        <v>9878</v>
      </c>
      <c r="C2870" t="s">
        <v>13</v>
      </c>
      <c r="E2870" t="s">
        <v>3628</v>
      </c>
      <c r="F2870">
        <v>4900</v>
      </c>
      <c r="G2870" t="s">
        <v>41</v>
      </c>
      <c r="H2870" t="s">
        <v>16</v>
      </c>
      <c r="I2870" t="s">
        <v>86</v>
      </c>
      <c r="J2870" t="s">
        <v>87</v>
      </c>
      <c r="K2870" t="s">
        <v>1809</v>
      </c>
      <c r="L2870" t="str">
        <f>HYPERLINK("https://business-monitor.ch/de/companies/979145-sivet-ag?utm_source=oberaargau","PROFIL ANSEHEN")</f>
        <v>PROFIL ANSEHEN</v>
      </c>
    </row>
    <row r="2871" spans="1:12" x14ac:dyDescent="0.2">
      <c r="A2871" t="s">
        <v>6770</v>
      </c>
      <c r="B2871" t="s">
        <v>6771</v>
      </c>
      <c r="C2871" t="s">
        <v>202</v>
      </c>
      <c r="D2871" t="s">
        <v>12871</v>
      </c>
      <c r="E2871" t="s">
        <v>12872</v>
      </c>
      <c r="F2871">
        <v>4922</v>
      </c>
      <c r="G2871" t="s">
        <v>99</v>
      </c>
      <c r="H2871" t="s">
        <v>16</v>
      </c>
      <c r="I2871" t="s">
        <v>167</v>
      </c>
      <c r="J2871" t="s">
        <v>168</v>
      </c>
      <c r="K2871" t="s">
        <v>1809</v>
      </c>
      <c r="L2871" t="str">
        <f>HYPERLINK("https://business-monitor.ch/de/companies/111117-signer-bau-gmbh?utm_source=oberaargau","PROFIL ANSEHEN")</f>
        <v>PROFIL ANSEHEN</v>
      </c>
    </row>
    <row r="2872" spans="1:12" x14ac:dyDescent="0.2">
      <c r="A2872" t="s">
        <v>8914</v>
      </c>
      <c r="B2872" t="s">
        <v>8915</v>
      </c>
      <c r="C2872" t="s">
        <v>202</v>
      </c>
      <c r="E2872" t="s">
        <v>2159</v>
      </c>
      <c r="F2872">
        <v>3380</v>
      </c>
      <c r="G2872" t="s">
        <v>29</v>
      </c>
      <c r="H2872" t="s">
        <v>16</v>
      </c>
      <c r="I2872" t="s">
        <v>1267</v>
      </c>
      <c r="J2872" t="s">
        <v>1268</v>
      </c>
      <c r="K2872" t="s">
        <v>1809</v>
      </c>
      <c r="L2872" t="str">
        <f>HYPERLINK("https://business-monitor.ch/de/companies/287336-reka-vertriebs-gmbh?utm_source=oberaargau","PROFIL ANSEHEN")</f>
        <v>PROFIL ANSEHEN</v>
      </c>
    </row>
    <row r="2873" spans="1:12" x14ac:dyDescent="0.2">
      <c r="A2873" t="s">
        <v>3395</v>
      </c>
      <c r="B2873" t="s">
        <v>3396</v>
      </c>
      <c r="C2873" t="s">
        <v>13</v>
      </c>
      <c r="E2873" t="s">
        <v>3397</v>
      </c>
      <c r="F2873">
        <v>3360</v>
      </c>
      <c r="G2873" t="s">
        <v>35</v>
      </c>
      <c r="H2873" t="s">
        <v>16</v>
      </c>
      <c r="I2873" t="s">
        <v>2275</v>
      </c>
      <c r="J2873" t="s">
        <v>2276</v>
      </c>
      <c r="K2873" t="s">
        <v>1809</v>
      </c>
      <c r="L2873" t="str">
        <f>HYPERLINK("https://business-monitor.ch/de/companies/196879-hasler-moebel-ag?utm_source=oberaargau","PROFIL ANSEHEN")</f>
        <v>PROFIL ANSEHEN</v>
      </c>
    </row>
    <row r="2874" spans="1:12" x14ac:dyDescent="0.2">
      <c r="A2874" t="s">
        <v>13240</v>
      </c>
      <c r="B2874" t="s">
        <v>13241</v>
      </c>
      <c r="C2874" t="s">
        <v>1812</v>
      </c>
      <c r="E2874" t="s">
        <v>13242</v>
      </c>
      <c r="F2874">
        <v>3360</v>
      </c>
      <c r="G2874" t="s">
        <v>35</v>
      </c>
      <c r="H2874" t="s">
        <v>16</v>
      </c>
      <c r="I2874" t="s">
        <v>4171</v>
      </c>
      <c r="J2874" t="s">
        <v>4172</v>
      </c>
      <c r="K2874" t="s">
        <v>1809</v>
      </c>
      <c r="L2874" t="str">
        <f>HYPERLINK("https://business-monitor.ch/de/companies/1187487-gfeller-rent?utm_source=oberaargau","PROFIL ANSEHEN")</f>
        <v>PROFIL ANSEHEN</v>
      </c>
    </row>
    <row r="2875" spans="1:12" x14ac:dyDescent="0.2">
      <c r="A2875" t="s">
        <v>11932</v>
      </c>
      <c r="B2875" t="s">
        <v>11933</v>
      </c>
      <c r="C2875" t="s">
        <v>13</v>
      </c>
      <c r="E2875" t="s">
        <v>4515</v>
      </c>
      <c r="F2875">
        <v>4900</v>
      </c>
      <c r="G2875" t="s">
        <v>41</v>
      </c>
      <c r="H2875" t="s">
        <v>16</v>
      </c>
      <c r="I2875" t="s">
        <v>11934</v>
      </c>
      <c r="J2875" t="s">
        <v>11935</v>
      </c>
      <c r="K2875" t="s">
        <v>1809</v>
      </c>
      <c r="L2875" t="str">
        <f>HYPERLINK("https://business-monitor.ch/de/companies/1172057-asag-asbest-und-schadstoffrueckbau-ag?utm_source=oberaargau","PROFIL ANSEHEN")</f>
        <v>PROFIL ANSEHEN</v>
      </c>
    </row>
    <row r="2876" spans="1:12" x14ac:dyDescent="0.2">
      <c r="A2876" t="s">
        <v>6401</v>
      </c>
      <c r="B2876" t="s">
        <v>6402</v>
      </c>
      <c r="C2876" t="s">
        <v>13</v>
      </c>
      <c r="E2876" t="s">
        <v>6403</v>
      </c>
      <c r="F2876">
        <v>3475</v>
      </c>
      <c r="G2876" t="s">
        <v>965</v>
      </c>
      <c r="H2876" t="s">
        <v>16</v>
      </c>
      <c r="I2876" t="s">
        <v>642</v>
      </c>
      <c r="J2876" t="s">
        <v>643</v>
      </c>
      <c r="K2876" t="s">
        <v>1809</v>
      </c>
      <c r="L2876" t="str">
        <f>HYPERLINK("https://business-monitor.ch/de/companies/289562-garage-greub-ag-riedtwil?utm_source=oberaargau","PROFIL ANSEHEN")</f>
        <v>PROFIL ANSEHEN</v>
      </c>
    </row>
    <row r="2877" spans="1:12" x14ac:dyDescent="0.2">
      <c r="A2877" t="s">
        <v>10210</v>
      </c>
      <c r="B2877" t="s">
        <v>10211</v>
      </c>
      <c r="C2877" t="s">
        <v>1812</v>
      </c>
      <c r="E2877" t="s">
        <v>10212</v>
      </c>
      <c r="F2877">
        <v>4923</v>
      </c>
      <c r="G2877" t="s">
        <v>732</v>
      </c>
      <c r="H2877" t="s">
        <v>16</v>
      </c>
      <c r="I2877" t="s">
        <v>2231</v>
      </c>
      <c r="J2877" t="s">
        <v>2232</v>
      </c>
      <c r="K2877" t="s">
        <v>1809</v>
      </c>
      <c r="L2877" t="str">
        <f>HYPERLINK("https://business-monitor.ch/de/companies/615282-malergeschaeft-pascal-streit?utm_source=oberaargau","PROFIL ANSEHEN")</f>
        <v>PROFIL ANSEHEN</v>
      </c>
    </row>
    <row r="2878" spans="1:12" x14ac:dyDescent="0.2">
      <c r="A2878" t="s">
        <v>8144</v>
      </c>
      <c r="B2878" t="s">
        <v>8145</v>
      </c>
      <c r="C2878" t="s">
        <v>1812</v>
      </c>
      <c r="E2878" t="s">
        <v>3151</v>
      </c>
      <c r="F2878">
        <v>4922</v>
      </c>
      <c r="G2878" t="s">
        <v>99</v>
      </c>
      <c r="H2878" t="s">
        <v>16</v>
      </c>
      <c r="I2878" t="s">
        <v>232</v>
      </c>
      <c r="J2878" t="s">
        <v>233</v>
      </c>
      <c r="K2878" t="s">
        <v>1809</v>
      </c>
      <c r="L2878" t="str">
        <f>HYPERLINK("https://business-monitor.ch/de/companies/186430-erich-gerber-treuhand?utm_source=oberaargau","PROFIL ANSEHEN")</f>
        <v>PROFIL ANSEHEN</v>
      </c>
    </row>
    <row r="2879" spans="1:12" x14ac:dyDescent="0.2">
      <c r="A2879" t="s">
        <v>8695</v>
      </c>
      <c r="B2879" t="s">
        <v>8696</v>
      </c>
      <c r="C2879" t="s">
        <v>202</v>
      </c>
      <c r="E2879" t="s">
        <v>8007</v>
      </c>
      <c r="F2879">
        <v>3360</v>
      </c>
      <c r="G2879" t="s">
        <v>35</v>
      </c>
      <c r="H2879" t="s">
        <v>16</v>
      </c>
      <c r="I2879" t="s">
        <v>24</v>
      </c>
      <c r="J2879" t="s">
        <v>25</v>
      </c>
      <c r="K2879" t="s">
        <v>1809</v>
      </c>
      <c r="L2879" t="str">
        <f>HYPERLINK("https://business-monitor.ch/de/companies/63024-as-tax-support-gmbh?utm_source=oberaargau","PROFIL ANSEHEN")</f>
        <v>PROFIL ANSEHEN</v>
      </c>
    </row>
    <row r="2880" spans="1:12" x14ac:dyDescent="0.2">
      <c r="A2880" t="s">
        <v>13489</v>
      </c>
      <c r="B2880" t="s">
        <v>13490</v>
      </c>
      <c r="C2880" t="s">
        <v>13</v>
      </c>
      <c r="D2880" t="s">
        <v>5218</v>
      </c>
      <c r="E2880" t="s">
        <v>5219</v>
      </c>
      <c r="F2880">
        <v>4900</v>
      </c>
      <c r="G2880" t="s">
        <v>41</v>
      </c>
      <c r="H2880" t="s">
        <v>16</v>
      </c>
      <c r="I2880" t="s">
        <v>182</v>
      </c>
      <c r="J2880" t="s">
        <v>183</v>
      </c>
      <c r="K2880" t="s">
        <v>1809</v>
      </c>
      <c r="L2880" t="str">
        <f>HYPERLINK("https://business-monitor.ch/de/companies/1245021-valn-holding-ag?utm_source=oberaargau","PROFIL ANSEHEN")</f>
        <v>PROFIL ANSEHEN</v>
      </c>
    </row>
    <row r="2881" spans="1:12" x14ac:dyDescent="0.2">
      <c r="A2881" t="s">
        <v>8511</v>
      </c>
      <c r="B2881" t="s">
        <v>8512</v>
      </c>
      <c r="C2881" t="s">
        <v>202</v>
      </c>
      <c r="E2881" t="s">
        <v>880</v>
      </c>
      <c r="F2881">
        <v>3368</v>
      </c>
      <c r="G2881" t="s">
        <v>308</v>
      </c>
      <c r="H2881" t="s">
        <v>16</v>
      </c>
      <c r="I2881" t="s">
        <v>331</v>
      </c>
      <c r="J2881" t="s">
        <v>332</v>
      </c>
      <c r="K2881" t="s">
        <v>1809</v>
      </c>
      <c r="L2881" t="str">
        <f>HYPERLINK("https://business-monitor.ch/de/companies/1006314-edelartig-gmbh?utm_source=oberaargau","PROFIL ANSEHEN")</f>
        <v>PROFIL ANSEHEN</v>
      </c>
    </row>
    <row r="2882" spans="1:12" x14ac:dyDescent="0.2">
      <c r="A2882" t="s">
        <v>6489</v>
      </c>
      <c r="B2882" t="s">
        <v>6490</v>
      </c>
      <c r="C2882" t="s">
        <v>1922</v>
      </c>
      <c r="D2882" t="s">
        <v>6491</v>
      </c>
      <c r="E2882" t="s">
        <v>6492</v>
      </c>
      <c r="F2882">
        <v>4900</v>
      </c>
      <c r="G2882" t="s">
        <v>41</v>
      </c>
      <c r="H2882" t="s">
        <v>16</v>
      </c>
      <c r="I2882" t="s">
        <v>1924</v>
      </c>
      <c r="J2882" t="s">
        <v>1925</v>
      </c>
      <c r="K2882" t="s">
        <v>1809</v>
      </c>
      <c r="L2882" t="str">
        <f>HYPERLINK("https://business-monitor.ch/de/companies/256408-stiftung-viktoria-frei?utm_source=oberaargau","PROFIL ANSEHEN")</f>
        <v>PROFIL ANSEHEN</v>
      </c>
    </row>
    <row r="2883" spans="1:12" x14ac:dyDescent="0.2">
      <c r="A2883" t="s">
        <v>6173</v>
      </c>
      <c r="B2883" t="s">
        <v>6174</v>
      </c>
      <c r="C2883" t="s">
        <v>202</v>
      </c>
      <c r="E2883" t="s">
        <v>1346</v>
      </c>
      <c r="F2883">
        <v>4950</v>
      </c>
      <c r="G2883" t="s">
        <v>15</v>
      </c>
      <c r="H2883" t="s">
        <v>16</v>
      </c>
      <c r="I2883" t="s">
        <v>4105</v>
      </c>
      <c r="J2883" t="s">
        <v>4106</v>
      </c>
      <c r="K2883" t="s">
        <v>1809</v>
      </c>
      <c r="L2883" t="str">
        <f>HYPERLINK("https://business-monitor.ch/de/companies/383470-avwf-schweiz-gmbh?utm_source=oberaargau","PROFIL ANSEHEN")</f>
        <v>PROFIL ANSEHEN</v>
      </c>
    </row>
    <row r="2884" spans="1:12" x14ac:dyDescent="0.2">
      <c r="A2884" t="s">
        <v>7292</v>
      </c>
      <c r="B2884" t="s">
        <v>10896</v>
      </c>
      <c r="C2884" t="s">
        <v>202</v>
      </c>
      <c r="D2884" t="s">
        <v>14556</v>
      </c>
      <c r="E2884" t="s">
        <v>14557</v>
      </c>
      <c r="F2884">
        <v>4900</v>
      </c>
      <c r="G2884" t="s">
        <v>41</v>
      </c>
      <c r="H2884" t="s">
        <v>16</v>
      </c>
      <c r="I2884" t="s">
        <v>1401</v>
      </c>
      <c r="J2884" t="s">
        <v>1402</v>
      </c>
      <c r="K2884" t="s">
        <v>1809</v>
      </c>
      <c r="L2884" t="str">
        <f>HYPERLINK("https://business-monitor.ch/de/companies/1011075-bw-langenthal-gmbh?utm_source=oberaargau","PROFIL ANSEHEN")</f>
        <v>PROFIL ANSEHEN</v>
      </c>
    </row>
    <row r="2885" spans="1:12" x14ac:dyDescent="0.2">
      <c r="A2885" t="s">
        <v>11442</v>
      </c>
      <c r="B2885" t="s">
        <v>11443</v>
      </c>
      <c r="C2885" t="s">
        <v>1812</v>
      </c>
      <c r="E2885" t="s">
        <v>11444</v>
      </c>
      <c r="F2885">
        <v>3380</v>
      </c>
      <c r="G2885" t="s">
        <v>3483</v>
      </c>
      <c r="H2885" t="s">
        <v>16</v>
      </c>
      <c r="I2885" t="s">
        <v>1267</v>
      </c>
      <c r="J2885" t="s">
        <v>1268</v>
      </c>
      <c r="K2885" t="s">
        <v>1809</v>
      </c>
      <c r="L2885" t="str">
        <f>HYPERLINK("https://business-monitor.ch/de/companies/1142530-roch-custom-cycles?utm_source=oberaargau","PROFIL ANSEHEN")</f>
        <v>PROFIL ANSEHEN</v>
      </c>
    </row>
    <row r="2886" spans="1:12" x14ac:dyDescent="0.2">
      <c r="A2886" t="s">
        <v>10543</v>
      </c>
      <c r="B2886" t="s">
        <v>10544</v>
      </c>
      <c r="C2886" t="s">
        <v>202</v>
      </c>
      <c r="E2886" t="s">
        <v>7085</v>
      </c>
      <c r="F2886">
        <v>3380</v>
      </c>
      <c r="G2886" t="s">
        <v>29</v>
      </c>
      <c r="H2886" t="s">
        <v>16</v>
      </c>
      <c r="I2886" t="s">
        <v>232</v>
      </c>
      <c r="J2886" t="s">
        <v>233</v>
      </c>
      <c r="K2886" t="s">
        <v>1809</v>
      </c>
      <c r="L2886" t="str">
        <f>HYPERLINK("https://business-monitor.ch/de/companies/1011575-bracher-services-gmbh?utm_source=oberaargau","PROFIL ANSEHEN")</f>
        <v>PROFIL ANSEHEN</v>
      </c>
    </row>
    <row r="2887" spans="1:12" x14ac:dyDescent="0.2">
      <c r="A2887" t="s">
        <v>8712</v>
      </c>
      <c r="B2887" t="s">
        <v>8713</v>
      </c>
      <c r="C2887" t="s">
        <v>13</v>
      </c>
      <c r="E2887" t="s">
        <v>927</v>
      </c>
      <c r="F2887">
        <v>4914</v>
      </c>
      <c r="G2887" t="s">
        <v>105</v>
      </c>
      <c r="H2887" t="s">
        <v>16</v>
      </c>
      <c r="I2887" t="s">
        <v>335</v>
      </c>
      <c r="J2887" t="s">
        <v>336</v>
      </c>
      <c r="K2887" t="s">
        <v>1809</v>
      </c>
      <c r="L2887" t="str">
        <f>HYPERLINK("https://business-monitor.ch/de/companies/1014899-multi-handling-ag?utm_source=oberaargau","PROFIL ANSEHEN")</f>
        <v>PROFIL ANSEHEN</v>
      </c>
    </row>
    <row r="2888" spans="1:12" x14ac:dyDescent="0.2">
      <c r="A2888" t="s">
        <v>12483</v>
      </c>
      <c r="B2888" t="s">
        <v>13585</v>
      </c>
      <c r="C2888" t="s">
        <v>202</v>
      </c>
      <c r="E2888" t="s">
        <v>4262</v>
      </c>
      <c r="F2888">
        <v>4900</v>
      </c>
      <c r="G2888" t="s">
        <v>41</v>
      </c>
      <c r="H2888" t="s">
        <v>16</v>
      </c>
      <c r="I2888" t="s">
        <v>2748</v>
      </c>
      <c r="J2888" t="s">
        <v>2749</v>
      </c>
      <c r="K2888" t="s">
        <v>1809</v>
      </c>
      <c r="L2888" t="str">
        <f>HYPERLINK("https://business-monitor.ch/de/companies/1027803-eyowana-gmbh?utm_source=oberaargau","PROFIL ANSEHEN")</f>
        <v>PROFIL ANSEHEN</v>
      </c>
    </row>
    <row r="2889" spans="1:12" x14ac:dyDescent="0.2">
      <c r="A2889" t="s">
        <v>3552</v>
      </c>
      <c r="B2889" t="s">
        <v>3553</v>
      </c>
      <c r="C2889" t="s">
        <v>1812</v>
      </c>
      <c r="E2889" t="s">
        <v>3554</v>
      </c>
      <c r="F2889">
        <v>4704</v>
      </c>
      <c r="G2889" t="s">
        <v>221</v>
      </c>
      <c r="H2889" t="s">
        <v>16</v>
      </c>
      <c r="I2889" t="s">
        <v>2555</v>
      </c>
      <c r="J2889" t="s">
        <v>2556</v>
      </c>
      <c r="K2889" t="s">
        <v>1809</v>
      </c>
      <c r="L2889" t="str">
        <f>HYPERLINK("https://business-monitor.ch/de/companies/124540-heggendorn-electronics?utm_source=oberaargau","PROFIL ANSEHEN")</f>
        <v>PROFIL ANSEHEN</v>
      </c>
    </row>
    <row r="2890" spans="1:12" x14ac:dyDescent="0.2">
      <c r="A2890" t="s">
        <v>6987</v>
      </c>
      <c r="B2890" t="s">
        <v>6988</v>
      </c>
      <c r="C2890" t="s">
        <v>1812</v>
      </c>
      <c r="E2890" t="s">
        <v>2664</v>
      </c>
      <c r="F2890">
        <v>4950</v>
      </c>
      <c r="G2890" t="s">
        <v>15</v>
      </c>
      <c r="H2890" t="s">
        <v>16</v>
      </c>
      <c r="I2890" t="s">
        <v>551</v>
      </c>
      <c r="J2890" t="s">
        <v>552</v>
      </c>
      <c r="K2890" t="s">
        <v>1809</v>
      </c>
      <c r="L2890" t="str">
        <f>HYPERLINK("https://business-monitor.ch/de/companies/682483-powerselling-pat-d-ippolito?utm_source=oberaargau","PROFIL ANSEHEN")</f>
        <v>PROFIL ANSEHEN</v>
      </c>
    </row>
    <row r="2891" spans="1:12" x14ac:dyDescent="0.2">
      <c r="A2891" t="s">
        <v>3177</v>
      </c>
      <c r="B2891" t="s">
        <v>3178</v>
      </c>
      <c r="C2891" t="s">
        <v>202</v>
      </c>
      <c r="E2891" t="s">
        <v>3179</v>
      </c>
      <c r="F2891">
        <v>4900</v>
      </c>
      <c r="G2891" t="s">
        <v>41</v>
      </c>
      <c r="H2891" t="s">
        <v>16</v>
      </c>
      <c r="I2891" t="s">
        <v>1267</v>
      </c>
      <c r="J2891" t="s">
        <v>1268</v>
      </c>
      <c r="K2891" t="s">
        <v>1809</v>
      </c>
      <c r="L2891" t="str">
        <f>HYPERLINK("https://business-monitor.ch/de/companies/295782-nordiq-gmbh?utm_source=oberaargau","PROFIL ANSEHEN")</f>
        <v>PROFIL ANSEHEN</v>
      </c>
    </row>
    <row r="2892" spans="1:12" x14ac:dyDescent="0.2">
      <c r="A2892" t="s">
        <v>3495</v>
      </c>
      <c r="B2892" t="s">
        <v>3496</v>
      </c>
      <c r="C2892" t="s">
        <v>13</v>
      </c>
      <c r="E2892" t="s">
        <v>3497</v>
      </c>
      <c r="F2892">
        <v>4923</v>
      </c>
      <c r="G2892" t="s">
        <v>732</v>
      </c>
      <c r="H2892" t="s">
        <v>16</v>
      </c>
      <c r="I2892" t="s">
        <v>167</v>
      </c>
      <c r="J2892" t="s">
        <v>168</v>
      </c>
      <c r="K2892" t="s">
        <v>1809</v>
      </c>
      <c r="L2892" t="str">
        <f>HYPERLINK("https://business-monitor.ch/de/companies/170706-andres-bauunternehmung-ag?utm_source=oberaargau","PROFIL ANSEHEN")</f>
        <v>PROFIL ANSEHEN</v>
      </c>
    </row>
    <row r="2893" spans="1:12" x14ac:dyDescent="0.2">
      <c r="A2893" t="s">
        <v>2597</v>
      </c>
      <c r="B2893" t="s">
        <v>10855</v>
      </c>
      <c r="C2893" t="s">
        <v>13</v>
      </c>
      <c r="E2893" t="s">
        <v>2133</v>
      </c>
      <c r="F2893">
        <v>4952</v>
      </c>
      <c r="G2893" t="s">
        <v>474</v>
      </c>
      <c r="H2893" t="s">
        <v>16</v>
      </c>
      <c r="I2893" t="s">
        <v>281</v>
      </c>
      <c r="J2893" t="s">
        <v>282</v>
      </c>
      <c r="K2893" t="s">
        <v>1809</v>
      </c>
      <c r="L2893" t="str">
        <f>HYPERLINK("https://business-monitor.ch/de/companies/504535-nyfarm-technik-ag?utm_source=oberaargau","PROFIL ANSEHEN")</f>
        <v>PROFIL ANSEHEN</v>
      </c>
    </row>
    <row r="2894" spans="1:12" x14ac:dyDescent="0.2">
      <c r="A2894" t="s">
        <v>6489</v>
      </c>
      <c r="B2894" t="s">
        <v>8759</v>
      </c>
      <c r="C2894" t="s">
        <v>13</v>
      </c>
      <c r="E2894" t="s">
        <v>6513</v>
      </c>
      <c r="F2894">
        <v>4704</v>
      </c>
      <c r="G2894" t="s">
        <v>221</v>
      </c>
      <c r="H2894" t="s">
        <v>16</v>
      </c>
      <c r="I2894" t="s">
        <v>371</v>
      </c>
      <c r="J2894" t="s">
        <v>372</v>
      </c>
      <c r="K2894" t="s">
        <v>1809</v>
      </c>
      <c r="L2894" t="str">
        <f>HYPERLINK("https://business-monitor.ch/de/companies/240217-zvg-zellstoff-verarbeitung-ag?utm_source=oberaargau","PROFIL ANSEHEN")</f>
        <v>PROFIL ANSEHEN</v>
      </c>
    </row>
    <row r="2895" spans="1:12" x14ac:dyDescent="0.2">
      <c r="A2895" t="s">
        <v>2902</v>
      </c>
      <c r="B2895" t="s">
        <v>2903</v>
      </c>
      <c r="C2895" t="s">
        <v>1812</v>
      </c>
      <c r="E2895" t="s">
        <v>2904</v>
      </c>
      <c r="F2895">
        <v>4538</v>
      </c>
      <c r="G2895" t="s">
        <v>71</v>
      </c>
      <c r="H2895" t="s">
        <v>16</v>
      </c>
      <c r="I2895" t="s">
        <v>551</v>
      </c>
      <c r="J2895" t="s">
        <v>552</v>
      </c>
      <c r="K2895" t="s">
        <v>1809</v>
      </c>
      <c r="L2895" t="str">
        <f>HYPERLINK("https://business-monitor.ch/de/companies/386576-optimax-consulting-burkhardt?utm_source=oberaargau","PROFIL ANSEHEN")</f>
        <v>PROFIL ANSEHEN</v>
      </c>
    </row>
    <row r="2896" spans="1:12" x14ac:dyDescent="0.2">
      <c r="A2896" t="s">
        <v>13409</v>
      </c>
      <c r="B2896" t="s">
        <v>13410</v>
      </c>
      <c r="C2896" t="s">
        <v>202</v>
      </c>
      <c r="E2896" t="s">
        <v>9653</v>
      </c>
      <c r="F2896">
        <v>4900</v>
      </c>
      <c r="G2896" t="s">
        <v>41</v>
      </c>
      <c r="H2896" t="s">
        <v>16</v>
      </c>
      <c r="I2896" t="s">
        <v>3775</v>
      </c>
      <c r="J2896" t="s">
        <v>3776</v>
      </c>
      <c r="K2896" t="s">
        <v>1809</v>
      </c>
      <c r="L2896" t="str">
        <f>HYPERLINK("https://business-monitor.ch/de/companies/1093777-leo-media-gmbh?utm_source=oberaargau","PROFIL ANSEHEN")</f>
        <v>PROFIL ANSEHEN</v>
      </c>
    </row>
    <row r="2897" spans="1:12" x14ac:dyDescent="0.2">
      <c r="A2897" t="s">
        <v>11489</v>
      </c>
      <c r="B2897" t="s">
        <v>11490</v>
      </c>
      <c r="C2897" t="s">
        <v>1812</v>
      </c>
      <c r="E2897" t="s">
        <v>1848</v>
      </c>
      <c r="F2897">
        <v>4539</v>
      </c>
      <c r="G2897" t="s">
        <v>1134</v>
      </c>
      <c r="H2897" t="s">
        <v>16</v>
      </c>
      <c r="I2897" t="s">
        <v>4343</v>
      </c>
      <c r="J2897" t="s">
        <v>4344</v>
      </c>
      <c r="K2897" t="s">
        <v>1809</v>
      </c>
      <c r="L2897" t="str">
        <f>HYPERLINK("https://business-monitor.ch/de/companies/117325-michael-craig-communications?utm_source=oberaargau","PROFIL ANSEHEN")</f>
        <v>PROFIL ANSEHEN</v>
      </c>
    </row>
    <row r="2898" spans="1:12" x14ac:dyDescent="0.2">
      <c r="A2898" t="s">
        <v>11301</v>
      </c>
      <c r="B2898" t="s">
        <v>11302</v>
      </c>
      <c r="C2898" t="s">
        <v>1812</v>
      </c>
      <c r="E2898" t="s">
        <v>11303</v>
      </c>
      <c r="F2898">
        <v>3360</v>
      </c>
      <c r="G2898" t="s">
        <v>35</v>
      </c>
      <c r="H2898" t="s">
        <v>16</v>
      </c>
      <c r="I2898" t="s">
        <v>1860</v>
      </c>
      <c r="J2898" t="s">
        <v>1861</v>
      </c>
      <c r="K2898" t="s">
        <v>1809</v>
      </c>
      <c r="L2898" t="str">
        <f>HYPERLINK("https://business-monitor.ch/de/companies/491235-fokus-image-tanja-raeber?utm_source=oberaargau","PROFIL ANSEHEN")</f>
        <v>PROFIL ANSEHEN</v>
      </c>
    </row>
    <row r="2899" spans="1:12" x14ac:dyDescent="0.2">
      <c r="A2899" t="s">
        <v>3161</v>
      </c>
      <c r="B2899" t="s">
        <v>3162</v>
      </c>
      <c r="C2899" t="s">
        <v>202</v>
      </c>
      <c r="E2899" t="s">
        <v>3163</v>
      </c>
      <c r="F2899">
        <v>4900</v>
      </c>
      <c r="G2899" t="s">
        <v>41</v>
      </c>
      <c r="H2899" t="s">
        <v>16</v>
      </c>
      <c r="I2899" t="s">
        <v>340</v>
      </c>
      <c r="J2899" t="s">
        <v>341</v>
      </c>
      <c r="K2899" t="s">
        <v>1809</v>
      </c>
      <c r="L2899" t="str">
        <f>HYPERLINK("https://business-monitor.ch/de/companies/304146-govinda-veda-kultur-gmbh?utm_source=oberaargau","PROFIL ANSEHEN")</f>
        <v>PROFIL ANSEHEN</v>
      </c>
    </row>
    <row r="2900" spans="1:12" x14ac:dyDescent="0.2">
      <c r="A2900" t="s">
        <v>7622</v>
      </c>
      <c r="B2900" t="s">
        <v>7623</v>
      </c>
      <c r="C2900" t="s">
        <v>13</v>
      </c>
      <c r="E2900" t="s">
        <v>4647</v>
      </c>
      <c r="F2900">
        <v>4900</v>
      </c>
      <c r="G2900" t="s">
        <v>41</v>
      </c>
      <c r="H2900" t="s">
        <v>16</v>
      </c>
      <c r="I2900" t="s">
        <v>7624</v>
      </c>
      <c r="J2900" t="s">
        <v>7625</v>
      </c>
      <c r="K2900" t="s">
        <v>1809</v>
      </c>
      <c r="L2900" t="str">
        <f>HYPERLINK("https://business-monitor.ch/de/companies/657061-roentgeninstitut-langenthal-ag?utm_source=oberaargau","PROFIL ANSEHEN")</f>
        <v>PROFIL ANSEHEN</v>
      </c>
    </row>
    <row r="2901" spans="1:12" x14ac:dyDescent="0.2">
      <c r="A2901" t="s">
        <v>3324</v>
      </c>
      <c r="B2901" t="s">
        <v>3325</v>
      </c>
      <c r="C2901" t="s">
        <v>1812</v>
      </c>
      <c r="F2901">
        <v>4938</v>
      </c>
      <c r="G2901" t="s">
        <v>618</v>
      </c>
      <c r="H2901" t="s">
        <v>16</v>
      </c>
      <c r="I2901" t="s">
        <v>551</v>
      </c>
      <c r="J2901" t="s">
        <v>552</v>
      </c>
      <c r="K2901" t="s">
        <v>1809</v>
      </c>
      <c r="L2901" t="str">
        <f>HYPERLINK("https://business-monitor.ch/de/companies/227168-lvc-leu-beratungen?utm_source=oberaargau","PROFIL ANSEHEN")</f>
        <v>PROFIL ANSEHEN</v>
      </c>
    </row>
    <row r="2902" spans="1:12" x14ac:dyDescent="0.2">
      <c r="A2902" t="s">
        <v>6637</v>
      </c>
      <c r="B2902" t="s">
        <v>6638</v>
      </c>
      <c r="C2902" t="s">
        <v>1812</v>
      </c>
      <c r="E2902" t="s">
        <v>1629</v>
      </c>
      <c r="F2902">
        <v>3367</v>
      </c>
      <c r="G2902" t="s">
        <v>455</v>
      </c>
      <c r="H2902" t="s">
        <v>16</v>
      </c>
      <c r="I2902" t="s">
        <v>2003</v>
      </c>
      <c r="J2902" t="s">
        <v>2004</v>
      </c>
      <c r="K2902" t="s">
        <v>1809</v>
      </c>
      <c r="L2902" t="str">
        <f>HYPERLINK("https://business-monitor.ch/de/companies/185963-apr-peter-reich?utm_source=oberaargau","PROFIL ANSEHEN")</f>
        <v>PROFIL ANSEHEN</v>
      </c>
    </row>
    <row r="2903" spans="1:12" x14ac:dyDescent="0.2">
      <c r="A2903" t="s">
        <v>3036</v>
      </c>
      <c r="B2903" t="s">
        <v>3762</v>
      </c>
      <c r="C2903" t="s">
        <v>202</v>
      </c>
      <c r="E2903" t="s">
        <v>3763</v>
      </c>
      <c r="F2903">
        <v>3377</v>
      </c>
      <c r="G2903" t="s">
        <v>1307</v>
      </c>
      <c r="H2903" t="s">
        <v>16</v>
      </c>
      <c r="I2903" t="s">
        <v>298</v>
      </c>
      <c r="J2903" t="s">
        <v>299</v>
      </c>
      <c r="K2903" t="s">
        <v>1809</v>
      </c>
      <c r="L2903" t="str">
        <f>HYPERLINK("https://business-monitor.ch/de/companies/339563-rr-buchhaltungen-gmbh?utm_source=oberaargau","PROFIL ANSEHEN")</f>
        <v>PROFIL ANSEHEN</v>
      </c>
    </row>
    <row r="2904" spans="1:12" x14ac:dyDescent="0.2">
      <c r="A2904" t="s">
        <v>13243</v>
      </c>
      <c r="B2904" t="s">
        <v>13244</v>
      </c>
      <c r="C2904" t="s">
        <v>202</v>
      </c>
      <c r="E2904" t="s">
        <v>9487</v>
      </c>
      <c r="F2904">
        <v>4923</v>
      </c>
      <c r="G2904" t="s">
        <v>732</v>
      </c>
      <c r="H2904" t="s">
        <v>16</v>
      </c>
      <c r="I2904" t="s">
        <v>997</v>
      </c>
      <c r="J2904" t="s">
        <v>998</v>
      </c>
      <c r="K2904" t="s">
        <v>1809</v>
      </c>
      <c r="L2904" t="str">
        <f>HYPERLINK("https://business-monitor.ch/de/companies/1237096-burning-tire-gmbh?utm_source=oberaargau","PROFIL ANSEHEN")</f>
        <v>PROFIL ANSEHEN</v>
      </c>
    </row>
    <row r="2905" spans="1:12" x14ac:dyDescent="0.2">
      <c r="A2905" t="s">
        <v>3092</v>
      </c>
      <c r="B2905" t="s">
        <v>3093</v>
      </c>
      <c r="C2905" t="s">
        <v>1827</v>
      </c>
      <c r="E2905" t="s">
        <v>3094</v>
      </c>
      <c r="F2905">
        <v>4922</v>
      </c>
      <c r="G2905" t="s">
        <v>1318</v>
      </c>
      <c r="H2905" t="s">
        <v>16</v>
      </c>
      <c r="I2905" t="s">
        <v>3095</v>
      </c>
      <c r="J2905" t="s">
        <v>3096</v>
      </c>
      <c r="K2905" t="s">
        <v>1809</v>
      </c>
      <c r="L2905" t="str">
        <f>HYPERLINK("https://business-monitor.ch/de/companies/325747-galloway-saloon-troesch-schmenger?utm_source=oberaargau","PROFIL ANSEHEN")</f>
        <v>PROFIL ANSEHEN</v>
      </c>
    </row>
    <row r="2906" spans="1:12" x14ac:dyDescent="0.2">
      <c r="A2906" t="s">
        <v>8891</v>
      </c>
      <c r="B2906" t="s">
        <v>8892</v>
      </c>
      <c r="C2906" t="s">
        <v>13</v>
      </c>
      <c r="E2906" t="s">
        <v>8599</v>
      </c>
      <c r="F2906">
        <v>3367</v>
      </c>
      <c r="G2906" t="s">
        <v>455</v>
      </c>
      <c r="H2906" t="s">
        <v>16</v>
      </c>
      <c r="I2906" t="s">
        <v>153</v>
      </c>
      <c r="J2906" t="s">
        <v>154</v>
      </c>
      <c r="K2906" t="s">
        <v>1809</v>
      </c>
      <c r="L2906" t="str">
        <f>HYPERLINK("https://business-monitor.ch/de/companies/301591-fme-ag?utm_source=oberaargau","PROFIL ANSEHEN")</f>
        <v>PROFIL ANSEHEN</v>
      </c>
    </row>
    <row r="2907" spans="1:12" x14ac:dyDescent="0.2">
      <c r="A2907" t="s">
        <v>6581</v>
      </c>
      <c r="B2907" t="s">
        <v>6582</v>
      </c>
      <c r="C2907" t="s">
        <v>1812</v>
      </c>
      <c r="E2907" t="s">
        <v>6583</v>
      </c>
      <c r="F2907">
        <v>4914</v>
      </c>
      <c r="G2907" t="s">
        <v>105</v>
      </c>
      <c r="H2907" t="s">
        <v>16</v>
      </c>
      <c r="I2907" t="s">
        <v>1053</v>
      </c>
      <c r="J2907" t="s">
        <v>1054</v>
      </c>
      <c r="K2907" t="s">
        <v>1809</v>
      </c>
      <c r="L2907" t="str">
        <f>HYPERLINK("https://business-monitor.ch/de/companies/218913-boden-raum-handwerk-gerber?utm_source=oberaargau","PROFIL ANSEHEN")</f>
        <v>PROFIL ANSEHEN</v>
      </c>
    </row>
    <row r="2908" spans="1:12" x14ac:dyDescent="0.2">
      <c r="A2908" t="s">
        <v>14558</v>
      </c>
      <c r="B2908" t="s">
        <v>14559</v>
      </c>
      <c r="C2908" t="s">
        <v>202</v>
      </c>
      <c r="E2908" t="s">
        <v>14560</v>
      </c>
      <c r="F2908">
        <v>4914</v>
      </c>
      <c r="G2908" t="s">
        <v>105</v>
      </c>
      <c r="H2908" t="s">
        <v>16</v>
      </c>
      <c r="I2908" t="s">
        <v>824</v>
      </c>
      <c r="J2908" t="s">
        <v>825</v>
      </c>
      <c r="K2908" t="s">
        <v>1809</v>
      </c>
      <c r="L2908" t="str">
        <f>HYPERLINK("https://business-monitor.ch/de/companies/1030355-webertransport-gmbh?utm_source=oberaargau","PROFIL ANSEHEN")</f>
        <v>PROFIL ANSEHEN</v>
      </c>
    </row>
    <row r="2909" spans="1:12" x14ac:dyDescent="0.2">
      <c r="A2909" t="s">
        <v>12339</v>
      </c>
      <c r="B2909" t="s">
        <v>12340</v>
      </c>
      <c r="C2909" t="s">
        <v>13</v>
      </c>
      <c r="E2909" t="s">
        <v>7849</v>
      </c>
      <c r="F2909">
        <v>4950</v>
      </c>
      <c r="G2909" t="s">
        <v>15</v>
      </c>
      <c r="H2909" t="s">
        <v>16</v>
      </c>
      <c r="I2909" t="s">
        <v>2197</v>
      </c>
      <c r="J2909" t="s">
        <v>2198</v>
      </c>
      <c r="K2909" t="s">
        <v>1809</v>
      </c>
      <c r="L2909" t="str">
        <f>HYPERLINK("https://business-monitor.ch/de/companies/1199992-zahnarztpraxis-hedwig-fortunato-ag?utm_source=oberaargau","PROFIL ANSEHEN")</f>
        <v>PROFIL ANSEHEN</v>
      </c>
    </row>
    <row r="2910" spans="1:12" x14ac:dyDescent="0.2">
      <c r="A2910" t="s">
        <v>7774</v>
      </c>
      <c r="B2910" t="s">
        <v>7775</v>
      </c>
      <c r="C2910" t="s">
        <v>13</v>
      </c>
      <c r="E2910" t="s">
        <v>7776</v>
      </c>
      <c r="F2910">
        <v>3373</v>
      </c>
      <c r="G2910" t="s">
        <v>2697</v>
      </c>
      <c r="H2910" t="s">
        <v>16</v>
      </c>
      <c r="I2910" t="s">
        <v>186</v>
      </c>
      <c r="J2910" t="s">
        <v>187</v>
      </c>
      <c r="K2910" t="s">
        <v>1809</v>
      </c>
      <c r="L2910" t="str">
        <f>HYPERLINK("https://business-monitor.ch/de/companies/562093-ryser-holding-ag?utm_source=oberaargau","PROFIL ANSEHEN")</f>
        <v>PROFIL ANSEHEN</v>
      </c>
    </row>
    <row r="2911" spans="1:12" x14ac:dyDescent="0.2">
      <c r="A2911" t="s">
        <v>2951</v>
      </c>
      <c r="B2911" t="s">
        <v>2952</v>
      </c>
      <c r="C2911" t="s">
        <v>13</v>
      </c>
      <c r="E2911" t="s">
        <v>2953</v>
      </c>
      <c r="F2911">
        <v>4900</v>
      </c>
      <c r="G2911" t="s">
        <v>41</v>
      </c>
      <c r="H2911" t="s">
        <v>16</v>
      </c>
      <c r="I2911" t="s">
        <v>2954</v>
      </c>
      <c r="J2911" t="s">
        <v>2955</v>
      </c>
      <c r="K2911" t="s">
        <v>1809</v>
      </c>
      <c r="L2911" t="str">
        <f>HYPERLINK("https://business-monitor.ch/de/companies/373294-kaminfegergeschaeft-lanz-ag?utm_source=oberaargau","PROFIL ANSEHEN")</f>
        <v>PROFIL ANSEHEN</v>
      </c>
    </row>
    <row r="2912" spans="1:12" x14ac:dyDescent="0.2">
      <c r="A2912" t="s">
        <v>6086</v>
      </c>
      <c r="B2912" t="s">
        <v>6087</v>
      </c>
      <c r="C2912" t="s">
        <v>202</v>
      </c>
      <c r="E2912" t="s">
        <v>6088</v>
      </c>
      <c r="F2912">
        <v>4934</v>
      </c>
      <c r="G2912" t="s">
        <v>670</v>
      </c>
      <c r="H2912" t="s">
        <v>16</v>
      </c>
      <c r="I2912" t="s">
        <v>1535</v>
      </c>
      <c r="J2912" t="s">
        <v>1536</v>
      </c>
      <c r="K2912" t="s">
        <v>1809</v>
      </c>
      <c r="L2912" t="str">
        <f>HYPERLINK("https://business-monitor.ch/de/companies/410038-gehoelzexperte-ch-gmbh?utm_source=oberaargau","PROFIL ANSEHEN")</f>
        <v>PROFIL ANSEHEN</v>
      </c>
    </row>
    <row r="2913" spans="1:12" x14ac:dyDescent="0.2">
      <c r="A2913" t="s">
        <v>4097</v>
      </c>
      <c r="B2913" t="s">
        <v>11321</v>
      </c>
      <c r="C2913" t="s">
        <v>202</v>
      </c>
      <c r="E2913" t="s">
        <v>11322</v>
      </c>
      <c r="F2913">
        <v>4950</v>
      </c>
      <c r="G2913" t="s">
        <v>15</v>
      </c>
      <c r="H2913" t="s">
        <v>16</v>
      </c>
      <c r="I2913" t="s">
        <v>1152</v>
      </c>
      <c r="J2913" t="s">
        <v>1153</v>
      </c>
      <c r="K2913" t="s">
        <v>1809</v>
      </c>
      <c r="L2913" t="str">
        <f>HYPERLINK("https://business-monitor.ch/de/companies/1040290-wurzel-verlag-gmbh?utm_source=oberaargau","PROFIL ANSEHEN")</f>
        <v>PROFIL ANSEHEN</v>
      </c>
    </row>
    <row r="2914" spans="1:12" x14ac:dyDescent="0.2">
      <c r="A2914" t="s">
        <v>6499</v>
      </c>
      <c r="B2914" t="s">
        <v>6500</v>
      </c>
      <c r="C2914" t="s">
        <v>202</v>
      </c>
      <c r="E2914" t="s">
        <v>6501</v>
      </c>
      <c r="F2914">
        <v>4538</v>
      </c>
      <c r="G2914" t="s">
        <v>71</v>
      </c>
      <c r="H2914" t="s">
        <v>16</v>
      </c>
      <c r="I2914" t="s">
        <v>1889</v>
      </c>
      <c r="J2914" t="s">
        <v>1890</v>
      </c>
      <c r="K2914" t="s">
        <v>1809</v>
      </c>
      <c r="L2914" t="str">
        <f>HYPERLINK("https://business-monitor.ch/de/companies/246797-obi-s-express-gmbh?utm_source=oberaargau","PROFIL ANSEHEN")</f>
        <v>PROFIL ANSEHEN</v>
      </c>
    </row>
    <row r="2915" spans="1:12" x14ac:dyDescent="0.2">
      <c r="A2915" t="s">
        <v>2989</v>
      </c>
      <c r="B2915" t="s">
        <v>2990</v>
      </c>
      <c r="C2915" t="s">
        <v>202</v>
      </c>
      <c r="D2915" t="s">
        <v>2991</v>
      </c>
      <c r="E2915" t="s">
        <v>2992</v>
      </c>
      <c r="F2915">
        <v>4900</v>
      </c>
      <c r="G2915" t="s">
        <v>41</v>
      </c>
      <c r="H2915" t="s">
        <v>16</v>
      </c>
      <c r="I2915" t="s">
        <v>1841</v>
      </c>
      <c r="J2915" t="s">
        <v>1842</v>
      </c>
      <c r="K2915" t="s">
        <v>1809</v>
      </c>
      <c r="L2915" t="str">
        <f>HYPERLINK("https://business-monitor.ch/de/companies/355284-swisspraxis-gmbh?utm_source=oberaargau","PROFIL ANSEHEN")</f>
        <v>PROFIL ANSEHEN</v>
      </c>
    </row>
    <row r="2916" spans="1:12" x14ac:dyDescent="0.2">
      <c r="A2916" t="s">
        <v>13685</v>
      </c>
      <c r="B2916" t="s">
        <v>13686</v>
      </c>
      <c r="C2916" t="s">
        <v>13</v>
      </c>
      <c r="E2916" t="s">
        <v>13687</v>
      </c>
      <c r="F2916">
        <v>4900</v>
      </c>
      <c r="G2916" t="s">
        <v>41</v>
      </c>
      <c r="H2916" t="s">
        <v>16</v>
      </c>
      <c r="I2916" t="s">
        <v>77</v>
      </c>
      <c r="J2916" t="s">
        <v>78</v>
      </c>
      <c r="K2916" t="s">
        <v>1809</v>
      </c>
      <c r="L2916" t="str">
        <f>HYPERLINK("https://business-monitor.ch/de/companies/1044986-orccs-totalunternehmung-ag?utm_source=oberaargau","PROFIL ANSEHEN")</f>
        <v>PROFIL ANSEHEN</v>
      </c>
    </row>
    <row r="2917" spans="1:12" x14ac:dyDescent="0.2">
      <c r="A2917" t="s">
        <v>4083</v>
      </c>
      <c r="B2917" t="s">
        <v>4084</v>
      </c>
      <c r="C2917" t="s">
        <v>13</v>
      </c>
      <c r="E2917" t="s">
        <v>4085</v>
      </c>
      <c r="F2917">
        <v>3362</v>
      </c>
      <c r="G2917" t="s">
        <v>47</v>
      </c>
      <c r="H2917" t="s">
        <v>16</v>
      </c>
      <c r="I2917" t="s">
        <v>671</v>
      </c>
      <c r="J2917" t="s">
        <v>672</v>
      </c>
      <c r="K2917" t="s">
        <v>1809</v>
      </c>
      <c r="L2917" t="str">
        <f>HYPERLINK("https://business-monitor.ch/de/companies/1045152-doktoria-ag?utm_source=oberaargau","PROFIL ANSEHEN")</f>
        <v>PROFIL ANSEHEN</v>
      </c>
    </row>
    <row r="2918" spans="1:12" x14ac:dyDescent="0.2">
      <c r="A2918" t="s">
        <v>3734</v>
      </c>
      <c r="B2918" t="s">
        <v>3735</v>
      </c>
      <c r="C2918" t="s">
        <v>84</v>
      </c>
      <c r="D2918" t="s">
        <v>3736</v>
      </c>
      <c r="E2918" t="s">
        <v>3737</v>
      </c>
      <c r="F2918">
        <v>4924</v>
      </c>
      <c r="G2918" t="s">
        <v>3727</v>
      </c>
      <c r="H2918" t="s">
        <v>16</v>
      </c>
      <c r="I2918" t="s">
        <v>386</v>
      </c>
      <c r="J2918" t="s">
        <v>387</v>
      </c>
      <c r="K2918" t="s">
        <v>1809</v>
      </c>
      <c r="L2918" t="str">
        <f>HYPERLINK("https://business-monitor.ch/de/companies/68480-wasserversorgungsgenossenschaft-obersteckholz?utm_source=oberaargau","PROFIL ANSEHEN")</f>
        <v>PROFIL ANSEHEN</v>
      </c>
    </row>
    <row r="2919" spans="1:12" x14ac:dyDescent="0.2">
      <c r="A2919" t="s">
        <v>2662</v>
      </c>
      <c r="B2919" t="s">
        <v>2663</v>
      </c>
      <c r="C2919" t="s">
        <v>202</v>
      </c>
      <c r="E2919" t="s">
        <v>11887</v>
      </c>
      <c r="F2919">
        <v>4900</v>
      </c>
      <c r="G2919" t="s">
        <v>41</v>
      </c>
      <c r="H2919" t="s">
        <v>16</v>
      </c>
      <c r="I2919" t="s">
        <v>551</v>
      </c>
      <c r="J2919" t="s">
        <v>552</v>
      </c>
      <c r="K2919" t="s">
        <v>1809</v>
      </c>
      <c r="L2919" t="str">
        <f>HYPERLINK("https://business-monitor.ch/de/companies/1073337-dk-gruppe-gmbh?utm_source=oberaargau","PROFIL ANSEHEN")</f>
        <v>PROFIL ANSEHEN</v>
      </c>
    </row>
    <row r="2920" spans="1:12" x14ac:dyDescent="0.2">
      <c r="A2920" t="s">
        <v>3289</v>
      </c>
      <c r="B2920" t="s">
        <v>3290</v>
      </c>
      <c r="C2920" t="s">
        <v>202</v>
      </c>
      <c r="E2920" t="s">
        <v>3291</v>
      </c>
      <c r="F2920">
        <v>4900</v>
      </c>
      <c r="G2920" t="s">
        <v>41</v>
      </c>
      <c r="H2920" t="s">
        <v>16</v>
      </c>
      <c r="I2920" t="s">
        <v>935</v>
      </c>
      <c r="J2920" t="s">
        <v>936</v>
      </c>
      <c r="K2920" t="s">
        <v>1809</v>
      </c>
      <c r="L2920" t="str">
        <f>HYPERLINK("https://business-monitor.ch/de/companies/245000-yildirim-gmbh?utm_source=oberaargau","PROFIL ANSEHEN")</f>
        <v>PROFIL ANSEHEN</v>
      </c>
    </row>
    <row r="2921" spans="1:12" x14ac:dyDescent="0.2">
      <c r="A2921" t="s">
        <v>6115</v>
      </c>
      <c r="B2921" t="s">
        <v>6762</v>
      </c>
      <c r="C2921" t="s">
        <v>13</v>
      </c>
      <c r="E2921" t="s">
        <v>1159</v>
      </c>
      <c r="F2921">
        <v>3380</v>
      </c>
      <c r="G2921" t="s">
        <v>29</v>
      </c>
      <c r="H2921" t="s">
        <v>16</v>
      </c>
      <c r="I2921" t="s">
        <v>186</v>
      </c>
      <c r="J2921" t="s">
        <v>187</v>
      </c>
      <c r="K2921" t="s">
        <v>1809</v>
      </c>
      <c r="L2921" t="str">
        <f>HYPERLINK("https://business-monitor.ch/de/companies/118404-schmid-roth-holding-ag?utm_source=oberaargau","PROFIL ANSEHEN")</f>
        <v>PROFIL ANSEHEN</v>
      </c>
    </row>
    <row r="2922" spans="1:12" x14ac:dyDescent="0.2">
      <c r="A2922" t="s">
        <v>8281</v>
      </c>
      <c r="B2922" t="s">
        <v>8282</v>
      </c>
      <c r="C2922" t="s">
        <v>13</v>
      </c>
      <c r="E2922" t="s">
        <v>3176</v>
      </c>
      <c r="F2922">
        <v>4932</v>
      </c>
      <c r="G2922" t="s">
        <v>2036</v>
      </c>
      <c r="H2922" t="s">
        <v>16</v>
      </c>
      <c r="I2922" t="s">
        <v>7046</v>
      </c>
      <c r="J2922" t="s">
        <v>7047</v>
      </c>
      <c r="K2922" t="s">
        <v>1809</v>
      </c>
      <c r="L2922" t="str">
        <f>HYPERLINK("https://business-monitor.ch/de/companies/1066909-reist-tours-ag?utm_source=oberaargau","PROFIL ANSEHEN")</f>
        <v>PROFIL ANSEHEN</v>
      </c>
    </row>
    <row r="2923" spans="1:12" x14ac:dyDescent="0.2">
      <c r="A2923" t="s">
        <v>3686</v>
      </c>
      <c r="B2923" t="s">
        <v>3687</v>
      </c>
      <c r="C2923" t="s">
        <v>202</v>
      </c>
      <c r="E2923" t="s">
        <v>3688</v>
      </c>
      <c r="F2923">
        <v>3360</v>
      </c>
      <c r="G2923" t="s">
        <v>35</v>
      </c>
      <c r="H2923" t="s">
        <v>16</v>
      </c>
      <c r="I2923" t="s">
        <v>2932</v>
      </c>
      <c r="J2923" t="s">
        <v>2933</v>
      </c>
      <c r="K2923" t="s">
        <v>1809</v>
      </c>
      <c r="L2923" t="str">
        <f>HYPERLINK("https://business-monitor.ch/de/companies/28561-mg-sanitaer-gmbh?utm_source=oberaargau","PROFIL ANSEHEN")</f>
        <v>PROFIL ANSEHEN</v>
      </c>
    </row>
    <row r="2924" spans="1:12" x14ac:dyDescent="0.2">
      <c r="A2924" t="s">
        <v>8164</v>
      </c>
      <c r="B2924" t="s">
        <v>8165</v>
      </c>
      <c r="C2924" t="s">
        <v>13</v>
      </c>
      <c r="E2924" t="s">
        <v>2320</v>
      </c>
      <c r="F2924">
        <v>3362</v>
      </c>
      <c r="G2924" t="s">
        <v>47</v>
      </c>
      <c r="H2924" t="s">
        <v>16</v>
      </c>
      <c r="I2924" t="s">
        <v>624</v>
      </c>
      <c r="J2924" t="s">
        <v>625</v>
      </c>
      <c r="K2924" t="s">
        <v>1809</v>
      </c>
      <c r="L2924" t="str">
        <f>HYPERLINK("https://business-monitor.ch/de/companies/173981-peter-beck-ag?utm_source=oberaargau","PROFIL ANSEHEN")</f>
        <v>PROFIL ANSEHEN</v>
      </c>
    </row>
    <row r="2925" spans="1:12" x14ac:dyDescent="0.2">
      <c r="A2925" t="s">
        <v>9230</v>
      </c>
      <c r="B2925" t="s">
        <v>9231</v>
      </c>
      <c r="C2925" t="s">
        <v>202</v>
      </c>
      <c r="E2925" t="s">
        <v>9232</v>
      </c>
      <c r="F2925">
        <v>4911</v>
      </c>
      <c r="G2925" t="s">
        <v>1005</v>
      </c>
      <c r="H2925" t="s">
        <v>16</v>
      </c>
      <c r="I2925" t="s">
        <v>679</v>
      </c>
      <c r="J2925" t="s">
        <v>680</v>
      </c>
      <c r="K2925" t="s">
        <v>1809</v>
      </c>
      <c r="L2925" t="str">
        <f>HYPERLINK("https://business-monitor.ch/de/companies/128543-k-buehlmann-gmbh?utm_source=oberaargau","PROFIL ANSEHEN")</f>
        <v>PROFIL ANSEHEN</v>
      </c>
    </row>
    <row r="2926" spans="1:12" x14ac:dyDescent="0.2">
      <c r="A2926" t="s">
        <v>8522</v>
      </c>
      <c r="B2926" t="s">
        <v>8523</v>
      </c>
      <c r="C2926" t="s">
        <v>13</v>
      </c>
      <c r="E2926" t="s">
        <v>4014</v>
      </c>
      <c r="F2926">
        <v>4922</v>
      </c>
      <c r="G2926" t="s">
        <v>99</v>
      </c>
      <c r="H2926" t="s">
        <v>16</v>
      </c>
      <c r="I2926" t="s">
        <v>781</v>
      </c>
      <c r="J2926" t="s">
        <v>782</v>
      </c>
      <c r="K2926" t="s">
        <v>1809</v>
      </c>
      <c r="L2926" t="str">
        <f>HYPERLINK("https://business-monitor.ch/de/companies/501102-wuethrich-lm-ag?utm_source=oberaargau","PROFIL ANSEHEN")</f>
        <v>PROFIL ANSEHEN</v>
      </c>
    </row>
    <row r="2927" spans="1:12" x14ac:dyDescent="0.2">
      <c r="A2927" t="s">
        <v>9682</v>
      </c>
      <c r="B2927" t="s">
        <v>9683</v>
      </c>
      <c r="C2927" t="s">
        <v>2178</v>
      </c>
      <c r="E2927" t="s">
        <v>9684</v>
      </c>
      <c r="F2927">
        <v>4704</v>
      </c>
      <c r="G2927" t="s">
        <v>221</v>
      </c>
      <c r="H2927" t="s">
        <v>16</v>
      </c>
      <c r="I2927" t="s">
        <v>845</v>
      </c>
      <c r="J2927" t="s">
        <v>846</v>
      </c>
      <c r="K2927" t="s">
        <v>1809</v>
      </c>
      <c r="L2927" t="str">
        <f>HYPERLINK("https://business-monitor.ch/de/companies/703178-ehrsam-gartenbau-ag?utm_source=oberaargau","PROFIL ANSEHEN")</f>
        <v>PROFIL ANSEHEN</v>
      </c>
    </row>
    <row r="2928" spans="1:12" x14ac:dyDescent="0.2">
      <c r="A2928" t="s">
        <v>4057</v>
      </c>
      <c r="B2928" t="s">
        <v>13587</v>
      </c>
      <c r="C2928" t="s">
        <v>202</v>
      </c>
      <c r="D2928" t="s">
        <v>4058</v>
      </c>
      <c r="E2928" t="s">
        <v>4059</v>
      </c>
      <c r="F2928">
        <v>4937</v>
      </c>
      <c r="G2928" t="s">
        <v>951</v>
      </c>
      <c r="H2928" t="s">
        <v>16</v>
      </c>
      <c r="I2928" t="s">
        <v>433</v>
      </c>
      <c r="J2928" t="s">
        <v>434</v>
      </c>
      <c r="K2928" t="s">
        <v>1809</v>
      </c>
      <c r="L2928" t="str">
        <f>HYPERLINK("https://business-monitor.ch/de/companies/942701-jimmy-anja-events-gmbh?utm_source=oberaargau","PROFIL ANSEHEN")</f>
        <v>PROFIL ANSEHEN</v>
      </c>
    </row>
    <row r="2929" spans="1:12" x14ac:dyDescent="0.2">
      <c r="A2929" t="s">
        <v>4389</v>
      </c>
      <c r="B2929" t="s">
        <v>4390</v>
      </c>
      <c r="C2929" t="s">
        <v>202</v>
      </c>
      <c r="E2929" t="s">
        <v>4391</v>
      </c>
      <c r="F2929">
        <v>4950</v>
      </c>
      <c r="G2929" t="s">
        <v>15</v>
      </c>
      <c r="H2929" t="s">
        <v>16</v>
      </c>
      <c r="I2929" t="s">
        <v>772</v>
      </c>
      <c r="J2929" t="s">
        <v>773</v>
      </c>
      <c r="K2929" t="s">
        <v>1809</v>
      </c>
      <c r="L2929" t="str">
        <f>HYPERLINK("https://business-monitor.ch/de/companies/947534-drunger-drueber-lingerie-gmbh?utm_source=oberaargau","PROFIL ANSEHEN")</f>
        <v>PROFIL ANSEHEN</v>
      </c>
    </row>
    <row r="2930" spans="1:12" x14ac:dyDescent="0.2">
      <c r="A2930" t="s">
        <v>3021</v>
      </c>
      <c r="B2930" t="s">
        <v>3128</v>
      </c>
      <c r="C2930" t="s">
        <v>202</v>
      </c>
      <c r="E2930" t="s">
        <v>3129</v>
      </c>
      <c r="F2930">
        <v>4900</v>
      </c>
      <c r="G2930" t="s">
        <v>41</v>
      </c>
      <c r="H2930" t="s">
        <v>16</v>
      </c>
      <c r="I2930" t="s">
        <v>2062</v>
      </c>
      <c r="J2930" t="s">
        <v>2063</v>
      </c>
      <c r="K2930" t="s">
        <v>1809</v>
      </c>
      <c r="L2930" t="str">
        <f>HYPERLINK("https://business-monitor.ch/de/companies/315155-asian-s-food-market-gmbh?utm_source=oberaargau","PROFIL ANSEHEN")</f>
        <v>PROFIL ANSEHEN</v>
      </c>
    </row>
    <row r="2931" spans="1:12" x14ac:dyDescent="0.2">
      <c r="A2931" t="s">
        <v>3940</v>
      </c>
      <c r="B2931" t="s">
        <v>3941</v>
      </c>
      <c r="C2931" t="s">
        <v>202</v>
      </c>
      <c r="E2931" t="s">
        <v>3942</v>
      </c>
      <c r="F2931">
        <v>3360</v>
      </c>
      <c r="G2931" t="s">
        <v>35</v>
      </c>
      <c r="H2931" t="s">
        <v>16</v>
      </c>
      <c r="I2931" t="s">
        <v>642</v>
      </c>
      <c r="J2931" t="s">
        <v>643</v>
      </c>
      <c r="K2931" t="s">
        <v>1809</v>
      </c>
      <c r="L2931" t="str">
        <f>HYPERLINK("https://business-monitor.ch/de/companies/553259-sujee-design-gmbh?utm_source=oberaargau","PROFIL ANSEHEN")</f>
        <v>PROFIL ANSEHEN</v>
      </c>
    </row>
    <row r="2932" spans="1:12" x14ac:dyDescent="0.2">
      <c r="A2932" t="s">
        <v>7636</v>
      </c>
      <c r="B2932" t="s">
        <v>7637</v>
      </c>
      <c r="C2932" t="s">
        <v>202</v>
      </c>
      <c r="E2932" t="s">
        <v>4422</v>
      </c>
      <c r="F2932">
        <v>3373</v>
      </c>
      <c r="G2932" t="s">
        <v>2429</v>
      </c>
      <c r="H2932" t="s">
        <v>16</v>
      </c>
      <c r="I2932" t="s">
        <v>1376</v>
      </c>
      <c r="J2932" t="s">
        <v>1377</v>
      </c>
      <c r="K2932" t="s">
        <v>1809</v>
      </c>
      <c r="L2932" t="str">
        <f>HYPERLINK("https://business-monitor.ch/de/companies/652245-reinmann-verpackungstechnik-gmbh?utm_source=oberaargau","PROFIL ANSEHEN")</f>
        <v>PROFIL ANSEHEN</v>
      </c>
    </row>
    <row r="2933" spans="1:12" x14ac:dyDescent="0.2">
      <c r="A2933" t="s">
        <v>3018</v>
      </c>
      <c r="B2933" t="s">
        <v>3019</v>
      </c>
      <c r="C2933" t="s">
        <v>1812</v>
      </c>
      <c r="E2933" t="s">
        <v>3020</v>
      </c>
      <c r="F2933">
        <v>4917</v>
      </c>
      <c r="G2933" t="s">
        <v>2848</v>
      </c>
      <c r="H2933" t="s">
        <v>16</v>
      </c>
      <c r="I2933" t="s">
        <v>1993</v>
      </c>
      <c r="J2933" t="s">
        <v>1994</v>
      </c>
      <c r="K2933" t="s">
        <v>1809</v>
      </c>
      <c r="L2933" t="str">
        <f>HYPERLINK("https://business-monitor.ch/de/companies/390093-gruenenberg-immobilien-daniel-hess?utm_source=oberaargau","PROFIL ANSEHEN")</f>
        <v>PROFIL ANSEHEN</v>
      </c>
    </row>
    <row r="2934" spans="1:12" x14ac:dyDescent="0.2">
      <c r="A2934" t="s">
        <v>11327</v>
      </c>
      <c r="B2934" t="s">
        <v>11328</v>
      </c>
      <c r="C2934" t="s">
        <v>1812</v>
      </c>
      <c r="E2934" t="s">
        <v>13925</v>
      </c>
      <c r="F2934">
        <v>3367</v>
      </c>
      <c r="G2934" t="s">
        <v>1336</v>
      </c>
      <c r="H2934" t="s">
        <v>16</v>
      </c>
      <c r="I2934" t="s">
        <v>679</v>
      </c>
      <c r="J2934" t="s">
        <v>680</v>
      </c>
      <c r="K2934" t="s">
        <v>1809</v>
      </c>
      <c r="L2934" t="str">
        <f>HYPERLINK("https://business-monitor.ch/de/companies/1125889-burger-bau-inh-roman-burger-lysonek?utm_source=oberaargau","PROFIL ANSEHEN")</f>
        <v>PROFIL ANSEHEN</v>
      </c>
    </row>
    <row r="2935" spans="1:12" x14ac:dyDescent="0.2">
      <c r="A2935" t="s">
        <v>3565</v>
      </c>
      <c r="B2935" t="s">
        <v>3566</v>
      </c>
      <c r="C2935" t="s">
        <v>202</v>
      </c>
      <c r="E2935" t="s">
        <v>3567</v>
      </c>
      <c r="F2935">
        <v>3368</v>
      </c>
      <c r="G2935" t="s">
        <v>308</v>
      </c>
      <c r="H2935" t="s">
        <v>16</v>
      </c>
      <c r="I2935" t="s">
        <v>2105</v>
      </c>
      <c r="J2935" t="s">
        <v>2106</v>
      </c>
      <c r="K2935" t="s">
        <v>1809</v>
      </c>
      <c r="L2935" t="str">
        <f>HYPERLINK("https://business-monitor.ch/de/companies/116721-detec-systems-gmbh?utm_source=oberaargau","PROFIL ANSEHEN")</f>
        <v>PROFIL ANSEHEN</v>
      </c>
    </row>
    <row r="2936" spans="1:12" x14ac:dyDescent="0.2">
      <c r="A2936" t="s">
        <v>6888</v>
      </c>
      <c r="B2936" t="s">
        <v>6889</v>
      </c>
      <c r="C2936" t="s">
        <v>13</v>
      </c>
      <c r="D2936" t="s">
        <v>6890</v>
      </c>
      <c r="E2936" t="s">
        <v>1617</v>
      </c>
      <c r="F2936">
        <v>4912</v>
      </c>
      <c r="G2936" t="s">
        <v>64</v>
      </c>
      <c r="H2936" t="s">
        <v>16</v>
      </c>
      <c r="I2936" t="s">
        <v>6891</v>
      </c>
      <c r="J2936" t="s">
        <v>6892</v>
      </c>
      <c r="K2936" t="s">
        <v>1809</v>
      </c>
      <c r="L2936" t="str">
        <f>HYPERLINK("https://business-monitor.ch/de/companies/29628-in-ar-immobilien-ag?utm_source=oberaargau","PROFIL ANSEHEN")</f>
        <v>PROFIL ANSEHEN</v>
      </c>
    </row>
    <row r="2937" spans="1:12" x14ac:dyDescent="0.2">
      <c r="A2937" t="s">
        <v>5454</v>
      </c>
      <c r="B2937" t="s">
        <v>9041</v>
      </c>
      <c r="C2937" t="s">
        <v>1812</v>
      </c>
      <c r="E2937" t="s">
        <v>9042</v>
      </c>
      <c r="F2937">
        <v>4911</v>
      </c>
      <c r="G2937" t="s">
        <v>1005</v>
      </c>
      <c r="H2937" t="s">
        <v>16</v>
      </c>
      <c r="I2937" t="s">
        <v>1337</v>
      </c>
      <c r="J2937" t="s">
        <v>1338</v>
      </c>
      <c r="K2937" t="s">
        <v>1809</v>
      </c>
      <c r="L2937" t="str">
        <f>HYPERLINK("https://business-monitor.ch/de/companies/212169-sport-service-burkhard-peter?utm_source=oberaargau","PROFIL ANSEHEN")</f>
        <v>PROFIL ANSEHEN</v>
      </c>
    </row>
    <row r="2938" spans="1:12" x14ac:dyDescent="0.2">
      <c r="A2938" t="s">
        <v>3679</v>
      </c>
      <c r="B2938" t="s">
        <v>3680</v>
      </c>
      <c r="C2938" t="s">
        <v>13</v>
      </c>
      <c r="F2938">
        <v>4937</v>
      </c>
      <c r="G2938" t="s">
        <v>951</v>
      </c>
      <c r="H2938" t="s">
        <v>16</v>
      </c>
      <c r="I2938" t="s">
        <v>3681</v>
      </c>
      <c r="J2938" t="s">
        <v>3682</v>
      </c>
      <c r="K2938" t="s">
        <v>1809</v>
      </c>
      <c r="L2938" t="str">
        <f>HYPERLINK("https://business-monitor.ch/de/companies/29971-heiniger-dl-ag?utm_source=oberaargau","PROFIL ANSEHEN")</f>
        <v>PROFIL ANSEHEN</v>
      </c>
    </row>
    <row r="2939" spans="1:12" x14ac:dyDescent="0.2">
      <c r="A2939" t="s">
        <v>10643</v>
      </c>
      <c r="B2939" t="s">
        <v>10644</v>
      </c>
      <c r="C2939" t="s">
        <v>13</v>
      </c>
      <c r="E2939" t="s">
        <v>10645</v>
      </c>
      <c r="F2939">
        <v>3362</v>
      </c>
      <c r="G2939" t="s">
        <v>47</v>
      </c>
      <c r="H2939" t="s">
        <v>16</v>
      </c>
      <c r="I2939" t="s">
        <v>331</v>
      </c>
      <c r="J2939" t="s">
        <v>332</v>
      </c>
      <c r="K2939" t="s">
        <v>1809</v>
      </c>
      <c r="L2939" t="str">
        <f>HYPERLINK("https://business-monitor.ch/de/companies/932041-mathys-feinmechanik-ag?utm_source=oberaargau","PROFIL ANSEHEN")</f>
        <v>PROFIL ANSEHEN</v>
      </c>
    </row>
    <row r="2940" spans="1:12" x14ac:dyDescent="0.2">
      <c r="A2940" t="s">
        <v>12381</v>
      </c>
      <c r="B2940" t="s">
        <v>12382</v>
      </c>
      <c r="C2940" t="s">
        <v>1812</v>
      </c>
      <c r="E2940" t="s">
        <v>12383</v>
      </c>
      <c r="F2940">
        <v>3380</v>
      </c>
      <c r="G2940" t="s">
        <v>29</v>
      </c>
      <c r="H2940" t="s">
        <v>16</v>
      </c>
      <c r="I2940" t="s">
        <v>11284</v>
      </c>
      <c r="J2940" t="s">
        <v>11285</v>
      </c>
      <c r="K2940" t="s">
        <v>1809</v>
      </c>
      <c r="L2940" t="str">
        <f>HYPERLINK("https://business-monitor.ch/de/companies/1199445-webico-bogdanovic?utm_source=oberaargau","PROFIL ANSEHEN")</f>
        <v>PROFIL ANSEHEN</v>
      </c>
    </row>
    <row r="2941" spans="1:12" x14ac:dyDescent="0.2">
      <c r="A2941" t="s">
        <v>9257</v>
      </c>
      <c r="B2941" t="s">
        <v>9258</v>
      </c>
      <c r="C2941" t="s">
        <v>13</v>
      </c>
      <c r="D2941" t="s">
        <v>9259</v>
      </c>
      <c r="E2941" t="s">
        <v>3444</v>
      </c>
      <c r="F2941">
        <v>3362</v>
      </c>
      <c r="G2941" t="s">
        <v>47</v>
      </c>
      <c r="H2941" t="s">
        <v>16</v>
      </c>
      <c r="I2941" t="s">
        <v>260</v>
      </c>
      <c r="J2941" t="s">
        <v>261</v>
      </c>
      <c r="K2941" t="s">
        <v>1809</v>
      </c>
      <c r="L2941" t="str">
        <f>HYPERLINK("https://business-monitor.ch/de/companies/115058-bono-architektur-ag?utm_source=oberaargau","PROFIL ANSEHEN")</f>
        <v>PROFIL ANSEHEN</v>
      </c>
    </row>
    <row r="2942" spans="1:12" x14ac:dyDescent="0.2">
      <c r="A2942" t="s">
        <v>5988</v>
      </c>
      <c r="B2942" t="s">
        <v>5989</v>
      </c>
      <c r="C2942" t="s">
        <v>202</v>
      </c>
      <c r="E2942" t="s">
        <v>5990</v>
      </c>
      <c r="F2942">
        <v>3380</v>
      </c>
      <c r="G2942" t="s">
        <v>29</v>
      </c>
      <c r="H2942" t="s">
        <v>16</v>
      </c>
      <c r="I2942" t="s">
        <v>65</v>
      </c>
      <c r="J2942" t="s">
        <v>66</v>
      </c>
      <c r="K2942" t="s">
        <v>1809</v>
      </c>
      <c r="L2942" t="str">
        <f>HYPERLINK("https://business-monitor.ch/de/companies/453127-solar-consulting-gmbh?utm_source=oberaargau","PROFIL ANSEHEN")</f>
        <v>PROFIL ANSEHEN</v>
      </c>
    </row>
    <row r="2943" spans="1:12" x14ac:dyDescent="0.2">
      <c r="A2943" t="s">
        <v>3302</v>
      </c>
      <c r="B2943" t="s">
        <v>3303</v>
      </c>
      <c r="C2943" t="s">
        <v>13</v>
      </c>
      <c r="E2943" t="s">
        <v>3304</v>
      </c>
      <c r="F2943">
        <v>4954</v>
      </c>
      <c r="G2943" t="s">
        <v>359</v>
      </c>
      <c r="H2943" t="s">
        <v>16</v>
      </c>
      <c r="I2943" t="s">
        <v>464</v>
      </c>
      <c r="J2943" t="s">
        <v>465</v>
      </c>
      <c r="K2943" t="s">
        <v>1809</v>
      </c>
      <c r="L2943" t="str">
        <f>HYPERLINK("https://business-monitor.ch/de/companies/242373-uni-cargo-ag?utm_source=oberaargau","PROFIL ANSEHEN")</f>
        <v>PROFIL ANSEHEN</v>
      </c>
    </row>
    <row r="2944" spans="1:12" x14ac:dyDescent="0.2">
      <c r="A2944" t="s">
        <v>4693</v>
      </c>
      <c r="B2944" t="s">
        <v>4694</v>
      </c>
      <c r="C2944" t="s">
        <v>1922</v>
      </c>
      <c r="D2944" t="s">
        <v>12171</v>
      </c>
      <c r="E2944" t="s">
        <v>12172</v>
      </c>
      <c r="F2944">
        <v>4900</v>
      </c>
      <c r="G2944" t="s">
        <v>41</v>
      </c>
      <c r="H2944" t="s">
        <v>16</v>
      </c>
      <c r="I2944" t="s">
        <v>1924</v>
      </c>
      <c r="J2944" t="s">
        <v>1925</v>
      </c>
      <c r="K2944" t="s">
        <v>1809</v>
      </c>
      <c r="L2944" t="str">
        <f>HYPERLINK("https://business-monitor.ch/de/companies/606603-stiftung-wasserland-oberaargau?utm_source=oberaargau","PROFIL ANSEHEN")</f>
        <v>PROFIL ANSEHEN</v>
      </c>
    </row>
    <row r="2945" spans="1:12" x14ac:dyDescent="0.2">
      <c r="A2945" t="s">
        <v>11716</v>
      </c>
      <c r="B2945" t="s">
        <v>11717</v>
      </c>
      <c r="C2945" t="s">
        <v>202</v>
      </c>
      <c r="E2945" t="s">
        <v>90</v>
      </c>
      <c r="F2945">
        <v>4900</v>
      </c>
      <c r="G2945" t="s">
        <v>41</v>
      </c>
      <c r="H2945" t="s">
        <v>16</v>
      </c>
      <c r="I2945" t="s">
        <v>232</v>
      </c>
      <c r="J2945" t="s">
        <v>233</v>
      </c>
      <c r="K2945" t="s">
        <v>1809</v>
      </c>
      <c r="L2945" t="str">
        <f>HYPERLINK("https://business-monitor.ch/de/companies/1162774-huemer-co-gmbh?utm_source=oberaargau","PROFIL ANSEHEN")</f>
        <v>PROFIL ANSEHEN</v>
      </c>
    </row>
    <row r="2946" spans="1:12" x14ac:dyDescent="0.2">
      <c r="A2946" t="s">
        <v>9831</v>
      </c>
      <c r="B2946" t="s">
        <v>9832</v>
      </c>
      <c r="C2946" t="s">
        <v>1812</v>
      </c>
      <c r="E2946" t="s">
        <v>3291</v>
      </c>
      <c r="F2946">
        <v>4900</v>
      </c>
      <c r="G2946" t="s">
        <v>41</v>
      </c>
      <c r="H2946" t="s">
        <v>16</v>
      </c>
      <c r="I2946" t="s">
        <v>824</v>
      </c>
      <c r="J2946" t="s">
        <v>825</v>
      </c>
      <c r="K2946" t="s">
        <v>1809</v>
      </c>
      <c r="L2946" t="str">
        <f>HYPERLINK("https://business-monitor.ch/de/companies/993003-yildirim-s-snack-house?utm_source=oberaargau","PROFIL ANSEHEN")</f>
        <v>PROFIL ANSEHEN</v>
      </c>
    </row>
    <row r="2947" spans="1:12" x14ac:dyDescent="0.2">
      <c r="A2947" t="s">
        <v>6447</v>
      </c>
      <c r="B2947" t="s">
        <v>8941</v>
      </c>
      <c r="C2947" t="s">
        <v>13</v>
      </c>
      <c r="E2947" t="s">
        <v>3298</v>
      </c>
      <c r="F2947">
        <v>4914</v>
      </c>
      <c r="G2947" t="s">
        <v>717</v>
      </c>
      <c r="H2947" t="s">
        <v>16</v>
      </c>
      <c r="I2947" t="s">
        <v>1245</v>
      </c>
      <c r="J2947" t="s">
        <v>1246</v>
      </c>
      <c r="K2947" t="s">
        <v>1809</v>
      </c>
      <c r="L2947" t="str">
        <f>HYPERLINK("https://business-monitor.ch/de/companies/265425-riviera-aktiengesellschaft-hans-gerber?utm_source=oberaargau","PROFIL ANSEHEN")</f>
        <v>PROFIL ANSEHEN</v>
      </c>
    </row>
    <row r="2948" spans="1:12" x14ac:dyDescent="0.2">
      <c r="A2948" t="s">
        <v>11393</v>
      </c>
      <c r="B2948" t="s">
        <v>11394</v>
      </c>
      <c r="C2948" t="s">
        <v>1812</v>
      </c>
      <c r="E2948" t="s">
        <v>9498</v>
      </c>
      <c r="F2948">
        <v>4704</v>
      </c>
      <c r="G2948" t="s">
        <v>221</v>
      </c>
      <c r="H2948" t="s">
        <v>16</v>
      </c>
      <c r="I2948" t="s">
        <v>175</v>
      </c>
      <c r="J2948" t="s">
        <v>176</v>
      </c>
      <c r="K2948" t="s">
        <v>1809</v>
      </c>
      <c r="L2948" t="str">
        <f>HYPERLINK("https://business-monitor.ch/de/companies/1135539-wrapfabrik-by-kai-frenzel?utm_source=oberaargau","PROFIL ANSEHEN")</f>
        <v>PROFIL ANSEHEN</v>
      </c>
    </row>
    <row r="2949" spans="1:12" x14ac:dyDescent="0.2">
      <c r="A2949" t="s">
        <v>10529</v>
      </c>
      <c r="B2949" t="s">
        <v>10530</v>
      </c>
      <c r="C2949" t="s">
        <v>1812</v>
      </c>
      <c r="E2949" t="s">
        <v>10531</v>
      </c>
      <c r="F2949">
        <v>3360</v>
      </c>
      <c r="G2949" t="s">
        <v>35</v>
      </c>
      <c r="H2949" t="s">
        <v>16</v>
      </c>
      <c r="I2949" t="s">
        <v>1053</v>
      </c>
      <c r="J2949" t="s">
        <v>1054</v>
      </c>
      <c r="K2949" t="s">
        <v>1809</v>
      </c>
      <c r="L2949" t="str">
        <f>HYPERLINK("https://business-monitor.ch/de/companies/355913-concepts-concepts-orlando-martinelli?utm_source=oberaargau","PROFIL ANSEHEN")</f>
        <v>PROFIL ANSEHEN</v>
      </c>
    </row>
    <row r="2950" spans="1:12" x14ac:dyDescent="0.2">
      <c r="A2950" t="s">
        <v>8065</v>
      </c>
      <c r="B2950" t="s">
        <v>8066</v>
      </c>
      <c r="C2950" t="s">
        <v>13</v>
      </c>
      <c r="E2950" t="s">
        <v>1365</v>
      </c>
      <c r="F2950">
        <v>4923</v>
      </c>
      <c r="G2950" t="s">
        <v>732</v>
      </c>
      <c r="H2950" t="s">
        <v>16</v>
      </c>
      <c r="I2950" t="s">
        <v>1491</v>
      </c>
      <c r="J2950" t="s">
        <v>1492</v>
      </c>
      <c r="K2950" t="s">
        <v>1809</v>
      </c>
      <c r="L2950" t="str">
        <f>HYPERLINK("https://business-monitor.ch/de/companies/162986-bospi-ag?utm_source=oberaargau","PROFIL ANSEHEN")</f>
        <v>PROFIL ANSEHEN</v>
      </c>
    </row>
    <row r="2951" spans="1:12" x14ac:dyDescent="0.2">
      <c r="A2951" t="s">
        <v>7615</v>
      </c>
      <c r="B2951" t="s">
        <v>7616</v>
      </c>
      <c r="C2951" t="s">
        <v>13</v>
      </c>
      <c r="E2951" t="s">
        <v>3067</v>
      </c>
      <c r="F2951">
        <v>4900</v>
      </c>
      <c r="G2951" t="s">
        <v>41</v>
      </c>
      <c r="H2951" t="s">
        <v>16</v>
      </c>
      <c r="I2951" t="s">
        <v>671</v>
      </c>
      <c r="J2951" t="s">
        <v>672</v>
      </c>
      <c r="K2951" t="s">
        <v>1809</v>
      </c>
      <c r="L2951" t="str">
        <f>HYPERLINK("https://business-monitor.ch/de/companies/661018-praxis-posthaus-ag?utm_source=oberaargau","PROFIL ANSEHEN")</f>
        <v>PROFIL ANSEHEN</v>
      </c>
    </row>
    <row r="2952" spans="1:12" x14ac:dyDescent="0.2">
      <c r="A2952" t="s">
        <v>4156</v>
      </c>
      <c r="B2952" t="s">
        <v>4157</v>
      </c>
      <c r="C2952" t="s">
        <v>1812</v>
      </c>
      <c r="E2952" t="s">
        <v>4158</v>
      </c>
      <c r="F2952">
        <v>4923</v>
      </c>
      <c r="G2952" t="s">
        <v>732</v>
      </c>
      <c r="H2952" t="s">
        <v>16</v>
      </c>
      <c r="I2952" t="s">
        <v>2587</v>
      </c>
      <c r="J2952" t="s">
        <v>2588</v>
      </c>
      <c r="K2952" t="s">
        <v>1809</v>
      </c>
      <c r="L2952" t="str">
        <f>HYPERLINK("https://business-monitor.ch/de/companies/1016320-nng-marktplatz-otto-erni?utm_source=oberaargau","PROFIL ANSEHEN")</f>
        <v>PROFIL ANSEHEN</v>
      </c>
    </row>
    <row r="2953" spans="1:12" x14ac:dyDescent="0.2">
      <c r="A2953" t="s">
        <v>2616</v>
      </c>
      <c r="B2953" t="s">
        <v>2617</v>
      </c>
      <c r="C2953" t="s">
        <v>1812</v>
      </c>
      <c r="E2953" t="s">
        <v>2618</v>
      </c>
      <c r="F2953">
        <v>4539</v>
      </c>
      <c r="G2953" t="s">
        <v>1134</v>
      </c>
      <c r="H2953" t="s">
        <v>16</v>
      </c>
      <c r="I2953" t="s">
        <v>2619</v>
      </c>
      <c r="J2953" t="s">
        <v>2620</v>
      </c>
      <c r="K2953" t="s">
        <v>1809</v>
      </c>
      <c r="L2953" t="str">
        <f>HYPERLINK("https://business-monitor.ch/de/companies/1074110-bergrestaurant-hinteregg-m-seiler?utm_source=oberaargau","PROFIL ANSEHEN")</f>
        <v>PROFIL ANSEHEN</v>
      </c>
    </row>
    <row r="2954" spans="1:12" x14ac:dyDescent="0.2">
      <c r="A2954" t="s">
        <v>1843</v>
      </c>
      <c r="B2954" t="s">
        <v>1844</v>
      </c>
      <c r="C2954" t="s">
        <v>1812</v>
      </c>
      <c r="E2954" t="s">
        <v>1845</v>
      </c>
      <c r="F2954">
        <v>3360</v>
      </c>
      <c r="G2954" t="s">
        <v>35</v>
      </c>
      <c r="H2954" t="s">
        <v>16</v>
      </c>
      <c r="I2954" t="s">
        <v>824</v>
      </c>
      <c r="J2954" t="s">
        <v>825</v>
      </c>
      <c r="K2954" t="s">
        <v>1809</v>
      </c>
      <c r="L2954" t="str">
        <f>HYPERLINK("https://business-monitor.ch/de/companies/1075550-restaurant-mosteli-sarantsetseg-narangerel?utm_source=oberaargau","PROFIL ANSEHEN")</f>
        <v>PROFIL ANSEHEN</v>
      </c>
    </row>
    <row r="2955" spans="1:12" x14ac:dyDescent="0.2">
      <c r="A2955" t="s">
        <v>4123</v>
      </c>
      <c r="B2955" t="s">
        <v>4124</v>
      </c>
      <c r="C2955" t="s">
        <v>1812</v>
      </c>
      <c r="E2955" t="s">
        <v>4125</v>
      </c>
      <c r="F2955">
        <v>3380</v>
      </c>
      <c r="G2955" t="s">
        <v>29</v>
      </c>
      <c r="H2955" t="s">
        <v>16</v>
      </c>
      <c r="I2955" t="s">
        <v>1898</v>
      </c>
      <c r="J2955" t="s">
        <v>1899</v>
      </c>
      <c r="K2955" t="s">
        <v>1809</v>
      </c>
      <c r="L2955" t="str">
        <f>HYPERLINK("https://business-monitor.ch/de/companies/1029680-hert-erich?utm_source=oberaargau","PROFIL ANSEHEN")</f>
        <v>PROFIL ANSEHEN</v>
      </c>
    </row>
    <row r="2956" spans="1:12" x14ac:dyDescent="0.2">
      <c r="A2956" t="s">
        <v>3710</v>
      </c>
      <c r="B2956" t="s">
        <v>3711</v>
      </c>
      <c r="C2956" t="s">
        <v>13</v>
      </c>
      <c r="E2956" t="s">
        <v>3712</v>
      </c>
      <c r="F2956">
        <v>4900</v>
      </c>
      <c r="G2956" t="s">
        <v>41</v>
      </c>
      <c r="H2956" t="s">
        <v>16</v>
      </c>
      <c r="I2956" t="s">
        <v>551</v>
      </c>
      <c r="J2956" t="s">
        <v>552</v>
      </c>
      <c r="K2956" t="s">
        <v>1809</v>
      </c>
      <c r="L2956" t="str">
        <f>HYPERLINK("https://business-monitor.ch/de/companies/12678-stafo-ag?utm_source=oberaargau","PROFIL ANSEHEN")</f>
        <v>PROFIL ANSEHEN</v>
      </c>
    </row>
    <row r="2957" spans="1:12" x14ac:dyDescent="0.2">
      <c r="A2957" t="s">
        <v>12425</v>
      </c>
      <c r="B2957" t="s">
        <v>12426</v>
      </c>
      <c r="C2957" t="s">
        <v>202</v>
      </c>
      <c r="E2957" t="s">
        <v>13808</v>
      </c>
      <c r="F2957">
        <v>4923</v>
      </c>
      <c r="G2957" t="s">
        <v>732</v>
      </c>
      <c r="H2957" t="s">
        <v>16</v>
      </c>
      <c r="I2957" t="s">
        <v>420</v>
      </c>
      <c r="J2957" t="s">
        <v>421</v>
      </c>
      <c r="K2957" t="s">
        <v>1809</v>
      </c>
      <c r="L2957" t="str">
        <f>HYPERLINK("https://business-monitor.ch/de/companies/1193604-bs-car-passion-gmbh?utm_source=oberaargau","PROFIL ANSEHEN")</f>
        <v>PROFIL ANSEHEN</v>
      </c>
    </row>
    <row r="2958" spans="1:12" x14ac:dyDescent="0.2">
      <c r="A2958" t="s">
        <v>6754</v>
      </c>
      <c r="B2958" t="s">
        <v>6755</v>
      </c>
      <c r="C2958" t="s">
        <v>13</v>
      </c>
      <c r="E2958" t="s">
        <v>787</v>
      </c>
      <c r="F2958">
        <v>4912</v>
      </c>
      <c r="G2958" t="s">
        <v>64</v>
      </c>
      <c r="H2958" t="s">
        <v>16</v>
      </c>
      <c r="I2958" t="s">
        <v>157</v>
      </c>
      <c r="J2958" t="s">
        <v>158</v>
      </c>
      <c r="K2958" t="s">
        <v>1809</v>
      </c>
      <c r="L2958" t="str">
        <f>HYPERLINK("https://business-monitor.ch/de/companies/122944-zimo-immobilien-ag?utm_source=oberaargau","PROFIL ANSEHEN")</f>
        <v>PROFIL ANSEHEN</v>
      </c>
    </row>
    <row r="2959" spans="1:12" x14ac:dyDescent="0.2">
      <c r="A2959" t="s">
        <v>9233</v>
      </c>
      <c r="B2959" t="s">
        <v>9234</v>
      </c>
      <c r="C2959" t="s">
        <v>13</v>
      </c>
      <c r="E2959" t="s">
        <v>9235</v>
      </c>
      <c r="F2959">
        <v>4900</v>
      </c>
      <c r="G2959" t="s">
        <v>41</v>
      </c>
      <c r="H2959" t="s">
        <v>16</v>
      </c>
      <c r="I2959" t="s">
        <v>186</v>
      </c>
      <c r="J2959" t="s">
        <v>187</v>
      </c>
      <c r="K2959" t="s">
        <v>1809</v>
      </c>
      <c r="L2959" t="str">
        <f>HYPERLINK("https://business-monitor.ch/de/companies/122750-lifestyle-holding-ag?utm_source=oberaargau","PROFIL ANSEHEN")</f>
        <v>PROFIL ANSEHEN</v>
      </c>
    </row>
    <row r="2960" spans="1:12" x14ac:dyDescent="0.2">
      <c r="A2960" t="s">
        <v>6160</v>
      </c>
      <c r="B2960" t="s">
        <v>6161</v>
      </c>
      <c r="C2960" t="s">
        <v>13</v>
      </c>
      <c r="D2960" t="s">
        <v>6162</v>
      </c>
      <c r="E2960" t="s">
        <v>1187</v>
      </c>
      <c r="F2960">
        <v>4538</v>
      </c>
      <c r="G2960" t="s">
        <v>71</v>
      </c>
      <c r="H2960" t="s">
        <v>16</v>
      </c>
      <c r="I2960" t="s">
        <v>186</v>
      </c>
      <c r="J2960" t="s">
        <v>187</v>
      </c>
      <c r="K2960" t="s">
        <v>1809</v>
      </c>
      <c r="L2960" t="str">
        <f>HYPERLINK("https://business-monitor.ch/de/companies/391596-oehrli-schaer-holding-ag?utm_source=oberaargau","PROFIL ANSEHEN")</f>
        <v>PROFIL ANSEHEN</v>
      </c>
    </row>
    <row r="2961" spans="1:12" x14ac:dyDescent="0.2">
      <c r="A2961" t="s">
        <v>12840</v>
      </c>
      <c r="B2961" t="s">
        <v>12841</v>
      </c>
      <c r="C2961" t="s">
        <v>202</v>
      </c>
      <c r="D2961" t="s">
        <v>12842</v>
      </c>
      <c r="E2961" t="s">
        <v>12772</v>
      </c>
      <c r="F2961">
        <v>3363</v>
      </c>
      <c r="G2961" t="s">
        <v>1367</v>
      </c>
      <c r="H2961" t="s">
        <v>16</v>
      </c>
      <c r="I2961" t="s">
        <v>77</v>
      </c>
      <c r="J2961" t="s">
        <v>78</v>
      </c>
      <c r="K2961" t="s">
        <v>1809</v>
      </c>
      <c r="L2961" t="str">
        <f>HYPERLINK("https://business-monitor.ch/de/companies/1225495-kaya-bau-gmbh?utm_source=oberaargau","PROFIL ANSEHEN")</f>
        <v>PROFIL ANSEHEN</v>
      </c>
    </row>
    <row r="2962" spans="1:12" x14ac:dyDescent="0.2">
      <c r="A2962" t="s">
        <v>9343</v>
      </c>
      <c r="B2962" t="s">
        <v>9344</v>
      </c>
      <c r="C2962" t="s">
        <v>13</v>
      </c>
      <c r="E2962" t="s">
        <v>3316</v>
      </c>
      <c r="F2962">
        <v>3360</v>
      </c>
      <c r="G2962" t="s">
        <v>35</v>
      </c>
      <c r="H2962" t="s">
        <v>16</v>
      </c>
      <c r="I2962" t="s">
        <v>260</v>
      </c>
      <c r="J2962" t="s">
        <v>261</v>
      </c>
      <c r="K2962" t="s">
        <v>1809</v>
      </c>
      <c r="L2962" t="str">
        <f>HYPERLINK("https://business-monitor.ch/de/companies/74448-laronova-ag?utm_source=oberaargau","PROFIL ANSEHEN")</f>
        <v>PROFIL ANSEHEN</v>
      </c>
    </row>
    <row r="2963" spans="1:12" x14ac:dyDescent="0.2">
      <c r="A2963" t="s">
        <v>3974</v>
      </c>
      <c r="B2963" t="s">
        <v>3975</v>
      </c>
      <c r="C2963" t="s">
        <v>202</v>
      </c>
      <c r="E2963" t="s">
        <v>13388</v>
      </c>
      <c r="F2963">
        <v>4932</v>
      </c>
      <c r="G2963" t="s">
        <v>325</v>
      </c>
      <c r="H2963" t="s">
        <v>16</v>
      </c>
      <c r="I2963" t="s">
        <v>1818</v>
      </c>
      <c r="J2963" t="s">
        <v>1819</v>
      </c>
      <c r="K2963" t="s">
        <v>1809</v>
      </c>
      <c r="L2963" t="str">
        <f>HYPERLINK("https://business-monitor.ch/de/companies/1000653-sanafee-gmbh?utm_source=oberaargau","PROFIL ANSEHEN")</f>
        <v>PROFIL ANSEHEN</v>
      </c>
    </row>
    <row r="2964" spans="1:12" x14ac:dyDescent="0.2">
      <c r="A2964" t="s">
        <v>8716</v>
      </c>
      <c r="B2964" t="s">
        <v>8717</v>
      </c>
      <c r="C2964" t="s">
        <v>202</v>
      </c>
      <c r="E2964" t="s">
        <v>9435</v>
      </c>
      <c r="F2964">
        <v>4932</v>
      </c>
      <c r="G2964" t="s">
        <v>325</v>
      </c>
      <c r="H2964" t="s">
        <v>16</v>
      </c>
      <c r="I2964" t="s">
        <v>824</v>
      </c>
      <c r="J2964" t="s">
        <v>825</v>
      </c>
      <c r="K2964" t="s">
        <v>1809</v>
      </c>
      <c r="L2964" t="str">
        <f>HYPERLINK("https://business-monitor.ch/de/companies/394385-restaurant-venus-gmbh?utm_source=oberaargau","PROFIL ANSEHEN")</f>
        <v>PROFIL ANSEHEN</v>
      </c>
    </row>
    <row r="2965" spans="1:12" x14ac:dyDescent="0.2">
      <c r="A2965" t="s">
        <v>12873</v>
      </c>
      <c r="B2965" t="s">
        <v>12874</v>
      </c>
      <c r="C2965" t="s">
        <v>13</v>
      </c>
      <c r="E2965" t="s">
        <v>4944</v>
      </c>
      <c r="F2965">
        <v>4938</v>
      </c>
      <c r="G2965" t="s">
        <v>618</v>
      </c>
      <c r="H2965" t="s">
        <v>16</v>
      </c>
      <c r="I2965" t="s">
        <v>5389</v>
      </c>
      <c r="J2965" t="s">
        <v>5390</v>
      </c>
      <c r="K2965" t="s">
        <v>1809</v>
      </c>
      <c r="L2965" t="str">
        <f>HYPERLINK("https://business-monitor.ch/de/companies/1000897-alr-wealth-management-ag?utm_source=oberaargau","PROFIL ANSEHEN")</f>
        <v>PROFIL ANSEHEN</v>
      </c>
    </row>
    <row r="2966" spans="1:12" x14ac:dyDescent="0.2">
      <c r="A2966" t="s">
        <v>5400</v>
      </c>
      <c r="B2966" t="s">
        <v>5401</v>
      </c>
      <c r="C2966" t="s">
        <v>13</v>
      </c>
      <c r="D2966" t="s">
        <v>5402</v>
      </c>
      <c r="E2966" t="s">
        <v>1103</v>
      </c>
      <c r="F2966">
        <v>4932</v>
      </c>
      <c r="G2966" t="s">
        <v>325</v>
      </c>
      <c r="H2966" t="s">
        <v>16</v>
      </c>
      <c r="I2966" t="s">
        <v>182</v>
      </c>
      <c r="J2966" t="s">
        <v>183</v>
      </c>
      <c r="K2966" t="s">
        <v>1809</v>
      </c>
      <c r="L2966" t="str">
        <f>HYPERLINK("https://business-monitor.ch/de/companies/271015-pml-millers-holding-ag?utm_source=oberaargau","PROFIL ANSEHEN")</f>
        <v>PROFIL ANSEHEN</v>
      </c>
    </row>
    <row r="2967" spans="1:12" x14ac:dyDescent="0.2">
      <c r="A2967" t="s">
        <v>1912</v>
      </c>
      <c r="B2967" t="s">
        <v>6456</v>
      </c>
      <c r="C2967" t="s">
        <v>1812</v>
      </c>
      <c r="E2967" t="s">
        <v>2290</v>
      </c>
      <c r="F2967">
        <v>4932</v>
      </c>
      <c r="G2967" t="s">
        <v>325</v>
      </c>
      <c r="H2967" t="s">
        <v>16</v>
      </c>
      <c r="I2967" t="s">
        <v>2522</v>
      </c>
      <c r="J2967" t="s">
        <v>2523</v>
      </c>
      <c r="K2967" t="s">
        <v>1809</v>
      </c>
      <c r="L2967" t="str">
        <f>HYPERLINK("https://business-monitor.ch/de/companies/271683-frima-wohnmobil-und-caravan-markus-friederich?utm_source=oberaargau","PROFIL ANSEHEN")</f>
        <v>PROFIL ANSEHEN</v>
      </c>
    </row>
    <row r="2968" spans="1:12" x14ac:dyDescent="0.2">
      <c r="A2968" t="s">
        <v>9076</v>
      </c>
      <c r="B2968" t="s">
        <v>9077</v>
      </c>
      <c r="C2968" t="s">
        <v>13</v>
      </c>
      <c r="E2968" t="s">
        <v>390</v>
      </c>
      <c r="F2968">
        <v>4950</v>
      </c>
      <c r="G2968" t="s">
        <v>15</v>
      </c>
      <c r="H2968" t="s">
        <v>16</v>
      </c>
      <c r="I2968" t="s">
        <v>464</v>
      </c>
      <c r="J2968" t="s">
        <v>465</v>
      </c>
      <c r="K2968" t="s">
        <v>1809</v>
      </c>
      <c r="L2968" t="str">
        <f>HYPERLINK("https://business-monitor.ch/de/companies/173798-lanz-transport-ag?utm_source=oberaargau","PROFIL ANSEHEN")</f>
        <v>PROFIL ANSEHEN</v>
      </c>
    </row>
    <row r="2969" spans="1:12" x14ac:dyDescent="0.2">
      <c r="A2969" t="s">
        <v>3214</v>
      </c>
      <c r="B2969" t="s">
        <v>3215</v>
      </c>
      <c r="C2969" t="s">
        <v>202</v>
      </c>
      <c r="E2969" t="s">
        <v>3216</v>
      </c>
      <c r="F2969">
        <v>3373</v>
      </c>
      <c r="G2969" t="s">
        <v>2697</v>
      </c>
      <c r="H2969" t="s">
        <v>16</v>
      </c>
      <c r="I2969" t="s">
        <v>3217</v>
      </c>
      <c r="J2969" t="s">
        <v>3218</v>
      </c>
      <c r="K2969" t="s">
        <v>1809</v>
      </c>
      <c r="L2969" t="str">
        <f>HYPERLINK("https://business-monitor.ch/de/companies/274772-wursthuesli-egger-gmbh?utm_source=oberaargau","PROFIL ANSEHEN")</f>
        <v>PROFIL ANSEHEN</v>
      </c>
    </row>
    <row r="2970" spans="1:12" x14ac:dyDescent="0.2">
      <c r="A2970" t="s">
        <v>7645</v>
      </c>
      <c r="B2970" t="s">
        <v>7646</v>
      </c>
      <c r="C2970" t="s">
        <v>13</v>
      </c>
      <c r="E2970" t="s">
        <v>959</v>
      </c>
      <c r="F2970">
        <v>4950</v>
      </c>
      <c r="G2970" t="s">
        <v>15</v>
      </c>
      <c r="H2970" t="s">
        <v>16</v>
      </c>
      <c r="I2970" t="s">
        <v>186</v>
      </c>
      <c r="J2970" t="s">
        <v>187</v>
      </c>
      <c r="K2970" t="s">
        <v>1809</v>
      </c>
      <c r="L2970" t="str">
        <f>HYPERLINK("https://business-monitor.ch/de/companies/643344-geflu-ag?utm_source=oberaargau","PROFIL ANSEHEN")</f>
        <v>PROFIL ANSEHEN</v>
      </c>
    </row>
    <row r="2971" spans="1:12" x14ac:dyDescent="0.2">
      <c r="A2971" t="s">
        <v>4392</v>
      </c>
      <c r="B2971" t="s">
        <v>4393</v>
      </c>
      <c r="C2971" t="s">
        <v>202</v>
      </c>
      <c r="E2971" t="s">
        <v>4394</v>
      </c>
      <c r="F2971">
        <v>3362</v>
      </c>
      <c r="G2971" t="s">
        <v>47</v>
      </c>
      <c r="H2971" t="s">
        <v>16</v>
      </c>
      <c r="I2971" t="s">
        <v>186</v>
      </c>
      <c r="J2971" t="s">
        <v>187</v>
      </c>
      <c r="K2971" t="s">
        <v>1809</v>
      </c>
      <c r="L2971" t="str">
        <f>HYPERLINK("https://business-monitor.ch/de/companies/943786-m-zbinden-holding-gmbh?utm_source=oberaargau","PROFIL ANSEHEN")</f>
        <v>PROFIL ANSEHEN</v>
      </c>
    </row>
    <row r="2972" spans="1:12" x14ac:dyDescent="0.2">
      <c r="A2972" t="s">
        <v>9123</v>
      </c>
      <c r="B2972" t="s">
        <v>11713</v>
      </c>
      <c r="C2972" t="s">
        <v>13</v>
      </c>
      <c r="E2972" t="s">
        <v>11714</v>
      </c>
      <c r="F2972">
        <v>4950</v>
      </c>
      <c r="G2972" t="s">
        <v>15</v>
      </c>
      <c r="H2972" t="s">
        <v>16</v>
      </c>
      <c r="I2972" t="s">
        <v>723</v>
      </c>
      <c r="J2972" t="s">
        <v>724</v>
      </c>
      <c r="K2972" t="s">
        <v>1809</v>
      </c>
      <c r="L2972" t="str">
        <f>HYPERLINK("https://business-monitor.ch/de/companies/173712-ammon-swissholz-ag?utm_source=oberaargau","PROFIL ANSEHEN")</f>
        <v>PROFIL ANSEHEN</v>
      </c>
    </row>
    <row r="2973" spans="1:12" x14ac:dyDescent="0.2">
      <c r="A2973" t="s">
        <v>11187</v>
      </c>
      <c r="B2973" t="s">
        <v>11188</v>
      </c>
      <c r="C2973" t="s">
        <v>13</v>
      </c>
      <c r="E2973" t="s">
        <v>11189</v>
      </c>
      <c r="F2973">
        <v>4913</v>
      </c>
      <c r="G2973" t="s">
        <v>207</v>
      </c>
      <c r="H2973" t="s">
        <v>16</v>
      </c>
      <c r="I2973" t="s">
        <v>2433</v>
      </c>
      <c r="J2973" t="s">
        <v>2434</v>
      </c>
      <c r="K2973" t="s">
        <v>1809</v>
      </c>
      <c r="L2973" t="str">
        <f>HYPERLINK("https://business-monitor.ch/de/companies/1136872-plotschie-ag?utm_source=oberaargau","PROFIL ANSEHEN")</f>
        <v>PROFIL ANSEHEN</v>
      </c>
    </row>
    <row r="2974" spans="1:12" x14ac:dyDescent="0.2">
      <c r="A2974" t="s">
        <v>3366</v>
      </c>
      <c r="B2974" t="s">
        <v>3367</v>
      </c>
      <c r="C2974" t="s">
        <v>13</v>
      </c>
      <c r="E2974" t="s">
        <v>3368</v>
      </c>
      <c r="F2974">
        <v>3360</v>
      </c>
      <c r="G2974" t="s">
        <v>35</v>
      </c>
      <c r="H2974" t="s">
        <v>16</v>
      </c>
      <c r="I2974" t="s">
        <v>3369</v>
      </c>
      <c r="J2974" t="s">
        <v>3370</v>
      </c>
      <c r="K2974" t="s">
        <v>1809</v>
      </c>
      <c r="L2974" t="str">
        <f>HYPERLINK("https://business-monitor.ch/de/companies/207332-cerom-ag?utm_source=oberaargau","PROFIL ANSEHEN")</f>
        <v>PROFIL ANSEHEN</v>
      </c>
    </row>
    <row r="2975" spans="1:12" x14ac:dyDescent="0.2">
      <c r="A2975" t="s">
        <v>12596</v>
      </c>
      <c r="B2975" t="s">
        <v>12597</v>
      </c>
      <c r="C2975" t="s">
        <v>1812</v>
      </c>
      <c r="E2975" t="s">
        <v>1329</v>
      </c>
      <c r="F2975">
        <v>4704</v>
      </c>
      <c r="G2975" t="s">
        <v>221</v>
      </c>
      <c r="H2975" t="s">
        <v>16</v>
      </c>
      <c r="I2975" t="s">
        <v>2640</v>
      </c>
      <c r="J2975" t="s">
        <v>2641</v>
      </c>
      <c r="K2975" t="s">
        <v>1809</v>
      </c>
      <c r="L2975" t="str">
        <f>HYPERLINK("https://business-monitor.ch/de/companies/986726-pmh-printmedien-hardware-wilhelm?utm_source=oberaargau","PROFIL ANSEHEN")</f>
        <v>PROFIL ANSEHEN</v>
      </c>
    </row>
    <row r="2976" spans="1:12" x14ac:dyDescent="0.2">
      <c r="A2976" t="s">
        <v>5843</v>
      </c>
      <c r="B2976" t="s">
        <v>5844</v>
      </c>
      <c r="C2976" t="s">
        <v>13</v>
      </c>
      <c r="E2976" t="s">
        <v>5845</v>
      </c>
      <c r="F2976">
        <v>4900</v>
      </c>
      <c r="G2976" t="s">
        <v>41</v>
      </c>
      <c r="H2976" t="s">
        <v>16</v>
      </c>
      <c r="I2976" t="s">
        <v>3493</v>
      </c>
      <c r="J2976" t="s">
        <v>3494</v>
      </c>
      <c r="K2976" t="s">
        <v>1809</v>
      </c>
      <c r="L2976" t="str">
        <f>HYPERLINK("https://business-monitor.ch/de/companies/1077290-tievnnay-ag?utm_source=oberaargau","PROFIL ANSEHEN")</f>
        <v>PROFIL ANSEHEN</v>
      </c>
    </row>
    <row r="2977" spans="1:12" x14ac:dyDescent="0.2">
      <c r="A2977" t="s">
        <v>9866</v>
      </c>
      <c r="B2977" t="s">
        <v>11144</v>
      </c>
      <c r="C2977" t="s">
        <v>202</v>
      </c>
      <c r="E2977" t="s">
        <v>6379</v>
      </c>
      <c r="F2977">
        <v>4900</v>
      </c>
      <c r="G2977" t="s">
        <v>41</v>
      </c>
      <c r="H2977" t="s">
        <v>16</v>
      </c>
      <c r="I2977" t="s">
        <v>237</v>
      </c>
      <c r="J2977" t="s">
        <v>238</v>
      </c>
      <c r="K2977" t="s">
        <v>1809</v>
      </c>
      <c r="L2977" t="str">
        <f>HYPERLINK("https://business-monitor.ch/de/companies/986865-sarangi-gmbh?utm_source=oberaargau","PROFIL ANSEHEN")</f>
        <v>PROFIL ANSEHEN</v>
      </c>
    </row>
    <row r="2978" spans="1:12" x14ac:dyDescent="0.2">
      <c r="A2978" t="s">
        <v>6150</v>
      </c>
      <c r="B2978" t="s">
        <v>6151</v>
      </c>
      <c r="C2978" t="s">
        <v>13</v>
      </c>
      <c r="E2978" t="s">
        <v>6152</v>
      </c>
      <c r="F2978">
        <v>4536</v>
      </c>
      <c r="G2978" t="s">
        <v>1395</v>
      </c>
      <c r="H2978" t="s">
        <v>16</v>
      </c>
      <c r="I2978" t="s">
        <v>232</v>
      </c>
      <c r="J2978" t="s">
        <v>233</v>
      </c>
      <c r="K2978" t="s">
        <v>1809</v>
      </c>
      <c r="L2978" t="str">
        <f>HYPERLINK("https://business-monitor.ch/de/companies/394053-nua-ag?utm_source=oberaargau","PROFIL ANSEHEN")</f>
        <v>PROFIL ANSEHEN</v>
      </c>
    </row>
    <row r="2979" spans="1:12" x14ac:dyDescent="0.2">
      <c r="A2979" t="s">
        <v>6146</v>
      </c>
      <c r="B2979" t="s">
        <v>6147</v>
      </c>
      <c r="C2979" t="s">
        <v>202</v>
      </c>
      <c r="D2979" t="s">
        <v>6148</v>
      </c>
      <c r="E2979" t="s">
        <v>6149</v>
      </c>
      <c r="F2979">
        <v>3366</v>
      </c>
      <c r="G2979" t="s">
        <v>728</v>
      </c>
      <c r="H2979" t="s">
        <v>16</v>
      </c>
      <c r="I2979" t="s">
        <v>4582</v>
      </c>
      <c r="J2979" t="s">
        <v>4583</v>
      </c>
      <c r="K2979" t="s">
        <v>1809</v>
      </c>
      <c r="L2979" t="str">
        <f>HYPERLINK("https://business-monitor.ch/de/companies/394056-fft-farm-und-forstteam-gmbh?utm_source=oberaargau","PROFIL ANSEHEN")</f>
        <v>PROFIL ANSEHEN</v>
      </c>
    </row>
    <row r="2980" spans="1:12" x14ac:dyDescent="0.2">
      <c r="A2980" t="s">
        <v>10653</v>
      </c>
      <c r="B2980" t="s">
        <v>10654</v>
      </c>
      <c r="C2980" t="s">
        <v>202</v>
      </c>
      <c r="E2980" t="s">
        <v>10655</v>
      </c>
      <c r="F2980">
        <v>4914</v>
      </c>
      <c r="G2980" t="s">
        <v>105</v>
      </c>
      <c r="H2980" t="s">
        <v>16</v>
      </c>
      <c r="I2980" t="s">
        <v>157</v>
      </c>
      <c r="J2980" t="s">
        <v>158</v>
      </c>
      <c r="K2980" t="s">
        <v>1809</v>
      </c>
      <c r="L2980" t="str">
        <f>HYPERLINK("https://business-monitor.ch/de/companies/1076934-immoverwalter-nsj-gmbh?utm_source=oberaargau","PROFIL ANSEHEN")</f>
        <v>PROFIL ANSEHEN</v>
      </c>
    </row>
    <row r="2981" spans="1:12" x14ac:dyDescent="0.2">
      <c r="A2981" t="s">
        <v>2907</v>
      </c>
      <c r="B2981" t="s">
        <v>2908</v>
      </c>
      <c r="C2981" t="s">
        <v>202</v>
      </c>
      <c r="E2981" t="s">
        <v>11775</v>
      </c>
      <c r="F2981">
        <v>4922</v>
      </c>
      <c r="G2981" t="s">
        <v>1318</v>
      </c>
      <c r="H2981" t="s">
        <v>16</v>
      </c>
      <c r="I2981" t="s">
        <v>1818</v>
      </c>
      <c r="J2981" t="s">
        <v>1819</v>
      </c>
      <c r="K2981" t="s">
        <v>1809</v>
      </c>
      <c r="L2981" t="str">
        <f>HYPERLINK("https://business-monitor.ch/de/companies/394590-vipsana-gmbh?utm_source=oberaargau","PROFIL ANSEHEN")</f>
        <v>PROFIL ANSEHEN</v>
      </c>
    </row>
    <row r="2982" spans="1:12" x14ac:dyDescent="0.2">
      <c r="A2982" t="s">
        <v>742</v>
      </c>
      <c r="B2982" t="s">
        <v>743</v>
      </c>
      <c r="C2982" t="s">
        <v>13</v>
      </c>
      <c r="E2982" t="s">
        <v>744</v>
      </c>
      <c r="F2982">
        <v>4912</v>
      </c>
      <c r="G2982" t="s">
        <v>64</v>
      </c>
      <c r="H2982" t="s">
        <v>16</v>
      </c>
      <c r="I2982" t="s">
        <v>208</v>
      </c>
      <c r="J2982" t="s">
        <v>209</v>
      </c>
      <c r="K2982" t="s">
        <v>1809</v>
      </c>
      <c r="L2982" t="str">
        <f>HYPERLINK("https://business-monitor.ch/de/companies/1027887-topmilch-ag?utm_source=oberaargau","PROFIL ANSEHEN")</f>
        <v>PROFIL ANSEHEN</v>
      </c>
    </row>
    <row r="2983" spans="1:12" x14ac:dyDescent="0.2">
      <c r="A2983" t="s">
        <v>5934</v>
      </c>
      <c r="B2983" t="s">
        <v>5935</v>
      </c>
      <c r="C2983" t="s">
        <v>1812</v>
      </c>
      <c r="E2983" t="s">
        <v>5936</v>
      </c>
      <c r="F2983">
        <v>4917</v>
      </c>
      <c r="G2983" t="s">
        <v>376</v>
      </c>
      <c r="H2983" t="s">
        <v>16</v>
      </c>
      <c r="I2983" t="s">
        <v>464</v>
      </c>
      <c r="J2983" t="s">
        <v>465</v>
      </c>
      <c r="K2983" t="s">
        <v>1809</v>
      </c>
      <c r="L2983" t="str">
        <f>HYPERLINK("https://business-monitor.ch/de/companies/261240-mueller-transporte?utm_source=oberaargau","PROFIL ANSEHEN")</f>
        <v>PROFIL ANSEHEN</v>
      </c>
    </row>
    <row r="2984" spans="1:12" x14ac:dyDescent="0.2">
      <c r="A2984" t="s">
        <v>3931</v>
      </c>
      <c r="B2984" t="s">
        <v>3932</v>
      </c>
      <c r="C2984" t="s">
        <v>202</v>
      </c>
      <c r="E2984" t="s">
        <v>3933</v>
      </c>
      <c r="F2984">
        <v>4937</v>
      </c>
      <c r="G2984" t="s">
        <v>951</v>
      </c>
      <c r="H2984" t="s">
        <v>16</v>
      </c>
      <c r="I2984" t="s">
        <v>642</v>
      </c>
      <c r="J2984" t="s">
        <v>643</v>
      </c>
      <c r="K2984" t="s">
        <v>1809</v>
      </c>
      <c r="L2984" t="str">
        <f>HYPERLINK("https://business-monitor.ch/de/companies/610407-ms-autoservice-gmbh?utm_source=oberaargau","PROFIL ANSEHEN")</f>
        <v>PROFIL ANSEHEN</v>
      </c>
    </row>
    <row r="2985" spans="1:12" x14ac:dyDescent="0.2">
      <c r="A2985" t="s">
        <v>11122</v>
      </c>
      <c r="B2985" t="s">
        <v>11123</v>
      </c>
      <c r="C2985" t="s">
        <v>13</v>
      </c>
      <c r="D2985" t="s">
        <v>14307</v>
      </c>
      <c r="E2985" t="s">
        <v>390</v>
      </c>
      <c r="F2985">
        <v>4537</v>
      </c>
      <c r="G2985" t="s">
        <v>113</v>
      </c>
      <c r="H2985" t="s">
        <v>16</v>
      </c>
      <c r="I2985" t="s">
        <v>182</v>
      </c>
      <c r="J2985" t="s">
        <v>183</v>
      </c>
      <c r="K2985" t="s">
        <v>1809</v>
      </c>
      <c r="L2985" t="str">
        <f>HYPERLINK("https://business-monitor.ch/de/companies/1115693-bftec-holding-ag?utm_source=oberaargau","PROFIL ANSEHEN")</f>
        <v>PROFIL ANSEHEN</v>
      </c>
    </row>
    <row r="2986" spans="1:12" x14ac:dyDescent="0.2">
      <c r="A2986" t="s">
        <v>7432</v>
      </c>
      <c r="B2986" t="s">
        <v>7433</v>
      </c>
      <c r="C2986" t="s">
        <v>13</v>
      </c>
      <c r="E2986" t="s">
        <v>7434</v>
      </c>
      <c r="F2986">
        <v>3362</v>
      </c>
      <c r="G2986" t="s">
        <v>47</v>
      </c>
      <c r="H2986" t="s">
        <v>16</v>
      </c>
      <c r="I2986" t="s">
        <v>748</v>
      </c>
      <c r="J2986" t="s">
        <v>749</v>
      </c>
      <c r="K2986" t="s">
        <v>1809</v>
      </c>
      <c r="L2986" t="str">
        <f>HYPERLINK("https://business-monitor.ch/de/companies/948838-valarte-ag-gipser-malergeschaeft?utm_source=oberaargau","PROFIL ANSEHEN")</f>
        <v>PROFIL ANSEHEN</v>
      </c>
    </row>
    <row r="2987" spans="1:12" x14ac:dyDescent="0.2">
      <c r="A2987" t="s">
        <v>6323</v>
      </c>
      <c r="B2987" t="s">
        <v>6324</v>
      </c>
      <c r="C2987" t="s">
        <v>13</v>
      </c>
      <c r="E2987" t="s">
        <v>6325</v>
      </c>
      <c r="F2987">
        <v>4704</v>
      </c>
      <c r="G2987" t="s">
        <v>221</v>
      </c>
      <c r="H2987" t="s">
        <v>16</v>
      </c>
      <c r="I2987" t="s">
        <v>1324</v>
      </c>
      <c r="J2987" t="s">
        <v>1325</v>
      </c>
      <c r="K2987" t="s">
        <v>1809</v>
      </c>
      <c r="L2987" t="str">
        <f>HYPERLINK("https://business-monitor.ch/de/companies/327443-meyer-fenster-und-storen-ag?utm_source=oberaargau","PROFIL ANSEHEN")</f>
        <v>PROFIL ANSEHEN</v>
      </c>
    </row>
    <row r="2988" spans="1:12" x14ac:dyDescent="0.2">
      <c r="A2988" t="s">
        <v>6283</v>
      </c>
      <c r="B2988" t="s">
        <v>6284</v>
      </c>
      <c r="C2988" t="s">
        <v>13</v>
      </c>
      <c r="E2988" t="s">
        <v>6285</v>
      </c>
      <c r="F2988">
        <v>4932</v>
      </c>
      <c r="G2988" t="s">
        <v>325</v>
      </c>
      <c r="H2988" t="s">
        <v>16</v>
      </c>
      <c r="I2988" t="s">
        <v>642</v>
      </c>
      <c r="J2988" t="s">
        <v>643</v>
      </c>
      <c r="K2988" t="s">
        <v>1809</v>
      </c>
      <c r="L2988" t="str">
        <f>HYPERLINK("https://business-monitor.ch/de/companies/339609-m-jufer-ag?utm_source=oberaargau","PROFIL ANSEHEN")</f>
        <v>PROFIL ANSEHEN</v>
      </c>
    </row>
    <row r="2989" spans="1:12" x14ac:dyDescent="0.2">
      <c r="A2989" t="s">
        <v>10217</v>
      </c>
      <c r="B2989" t="s">
        <v>10218</v>
      </c>
      <c r="C2989" t="s">
        <v>13</v>
      </c>
      <c r="E2989" t="s">
        <v>1725</v>
      </c>
      <c r="F2989">
        <v>3360</v>
      </c>
      <c r="G2989" t="s">
        <v>35</v>
      </c>
      <c r="H2989" t="s">
        <v>16</v>
      </c>
      <c r="I2989" t="s">
        <v>186</v>
      </c>
      <c r="J2989" t="s">
        <v>187</v>
      </c>
      <c r="K2989" t="s">
        <v>1809</v>
      </c>
      <c r="L2989" t="str">
        <f>HYPERLINK("https://business-monitor.ch/de/companies/611373-iat-holding-ag?utm_source=oberaargau","PROFIL ANSEHEN")</f>
        <v>PROFIL ANSEHEN</v>
      </c>
    </row>
    <row r="2990" spans="1:12" x14ac:dyDescent="0.2">
      <c r="A2990" t="s">
        <v>4330</v>
      </c>
      <c r="B2990" t="s">
        <v>4331</v>
      </c>
      <c r="C2990" t="s">
        <v>202</v>
      </c>
      <c r="E2990" t="s">
        <v>4332</v>
      </c>
      <c r="F2990">
        <v>4536</v>
      </c>
      <c r="G2990" t="s">
        <v>1395</v>
      </c>
      <c r="H2990" t="s">
        <v>16</v>
      </c>
      <c r="I2990" t="s">
        <v>781</v>
      </c>
      <c r="J2990" t="s">
        <v>782</v>
      </c>
      <c r="K2990" t="s">
        <v>1809</v>
      </c>
      <c r="L2990" t="str">
        <f>HYPERLINK("https://business-monitor.ch/de/companies/966797-garage-bandi-gmbh?utm_source=oberaargau","PROFIL ANSEHEN")</f>
        <v>PROFIL ANSEHEN</v>
      </c>
    </row>
    <row r="2991" spans="1:12" x14ac:dyDescent="0.2">
      <c r="A2991" t="s">
        <v>10059</v>
      </c>
      <c r="B2991" t="s">
        <v>10060</v>
      </c>
      <c r="C2991" t="s">
        <v>202</v>
      </c>
      <c r="D2991" t="s">
        <v>10061</v>
      </c>
      <c r="E2991" t="s">
        <v>10062</v>
      </c>
      <c r="F2991">
        <v>4537</v>
      </c>
      <c r="G2991" t="s">
        <v>113</v>
      </c>
      <c r="H2991" t="s">
        <v>16</v>
      </c>
      <c r="I2991" t="s">
        <v>5308</v>
      </c>
      <c r="J2991" t="s">
        <v>5309</v>
      </c>
      <c r="K2991" t="s">
        <v>1809</v>
      </c>
      <c r="L2991" t="str">
        <f>HYPERLINK("https://business-monitor.ch/de/companies/694533-niederhaeuser-solutions-gmbh?utm_source=oberaargau","PROFIL ANSEHEN")</f>
        <v>PROFIL ANSEHEN</v>
      </c>
    </row>
    <row r="2992" spans="1:12" x14ac:dyDescent="0.2">
      <c r="A2992" t="s">
        <v>6942</v>
      </c>
      <c r="B2992" t="s">
        <v>6943</v>
      </c>
      <c r="C2992" t="s">
        <v>202</v>
      </c>
      <c r="E2992" t="s">
        <v>6944</v>
      </c>
      <c r="F2992">
        <v>4923</v>
      </c>
      <c r="G2992" t="s">
        <v>732</v>
      </c>
      <c r="H2992" t="s">
        <v>16</v>
      </c>
      <c r="I2992" t="s">
        <v>854</v>
      </c>
      <c r="J2992" t="s">
        <v>855</v>
      </c>
      <c r="K2992" t="s">
        <v>1809</v>
      </c>
      <c r="L2992" t="str">
        <f>HYPERLINK("https://business-monitor.ch/de/companies/694597-gabox-gmbh?utm_source=oberaargau","PROFIL ANSEHEN")</f>
        <v>PROFIL ANSEHEN</v>
      </c>
    </row>
    <row r="2993" spans="1:12" x14ac:dyDescent="0.2">
      <c r="A2993" t="s">
        <v>10240</v>
      </c>
      <c r="B2993" t="s">
        <v>10241</v>
      </c>
      <c r="C2993" t="s">
        <v>202</v>
      </c>
      <c r="E2993" t="s">
        <v>10242</v>
      </c>
      <c r="F2993">
        <v>4912</v>
      </c>
      <c r="G2993" t="s">
        <v>64</v>
      </c>
      <c r="H2993" t="s">
        <v>16</v>
      </c>
      <c r="I2993" t="s">
        <v>679</v>
      </c>
      <c r="J2993" t="s">
        <v>680</v>
      </c>
      <c r="K2993" t="s">
        <v>1809</v>
      </c>
      <c r="L2993" t="str">
        <f>HYPERLINK("https://business-monitor.ch/de/companies/602673-nufer-gmbh?utm_source=oberaargau","PROFIL ANSEHEN")</f>
        <v>PROFIL ANSEHEN</v>
      </c>
    </row>
    <row r="2994" spans="1:12" x14ac:dyDescent="0.2">
      <c r="A2994" t="s">
        <v>10651</v>
      </c>
      <c r="B2994" t="s">
        <v>10652</v>
      </c>
      <c r="C2994" t="s">
        <v>202</v>
      </c>
      <c r="E2994" t="s">
        <v>6529</v>
      </c>
      <c r="F2994">
        <v>4922</v>
      </c>
      <c r="G2994" t="s">
        <v>99</v>
      </c>
      <c r="H2994" t="s">
        <v>16</v>
      </c>
      <c r="I2994" t="s">
        <v>587</v>
      </c>
      <c r="J2994" t="s">
        <v>588</v>
      </c>
      <c r="K2994" t="s">
        <v>1809</v>
      </c>
      <c r="L2994" t="str">
        <f>HYPERLINK("https://business-monitor.ch/de/companies/1078413-rsc-business-gmbh?utm_source=oberaargau","PROFIL ANSEHEN")</f>
        <v>PROFIL ANSEHEN</v>
      </c>
    </row>
    <row r="2995" spans="1:12" x14ac:dyDescent="0.2">
      <c r="A2995" t="s">
        <v>3715</v>
      </c>
      <c r="B2995" t="s">
        <v>3716</v>
      </c>
      <c r="C2995" t="s">
        <v>13</v>
      </c>
      <c r="E2995" t="s">
        <v>3717</v>
      </c>
      <c r="F2995">
        <v>3375</v>
      </c>
      <c r="G2995" t="s">
        <v>667</v>
      </c>
      <c r="H2995" t="s">
        <v>16</v>
      </c>
      <c r="I2995" t="s">
        <v>298</v>
      </c>
      <c r="J2995" t="s">
        <v>299</v>
      </c>
      <c r="K2995" t="s">
        <v>1809</v>
      </c>
      <c r="L2995" t="str">
        <f>HYPERLINK("https://business-monitor.ch/de/companies/11468-kit-wassertechnik-ag?utm_source=oberaargau","PROFIL ANSEHEN")</f>
        <v>PROFIL ANSEHEN</v>
      </c>
    </row>
    <row r="2996" spans="1:12" x14ac:dyDescent="0.2">
      <c r="A2996" t="s">
        <v>9807</v>
      </c>
      <c r="B2996" t="s">
        <v>9808</v>
      </c>
      <c r="C2996" t="s">
        <v>13</v>
      </c>
      <c r="E2996" t="s">
        <v>9809</v>
      </c>
      <c r="F2996">
        <v>3365</v>
      </c>
      <c r="G2996" t="s">
        <v>1008</v>
      </c>
      <c r="H2996" t="s">
        <v>16</v>
      </c>
      <c r="I2996" t="s">
        <v>935</v>
      </c>
      <c r="J2996" t="s">
        <v>936</v>
      </c>
      <c r="K2996" t="s">
        <v>1809</v>
      </c>
      <c r="L2996" t="str">
        <f>HYPERLINK("https://business-monitor.ch/de/companies/1010529-terra-magis-ag?utm_source=oberaargau","PROFIL ANSEHEN")</f>
        <v>PROFIL ANSEHEN</v>
      </c>
    </row>
    <row r="2997" spans="1:12" x14ac:dyDescent="0.2">
      <c r="A2997" t="s">
        <v>6896</v>
      </c>
      <c r="B2997" t="s">
        <v>6897</v>
      </c>
      <c r="C2997" t="s">
        <v>202</v>
      </c>
      <c r="D2997" t="s">
        <v>6898</v>
      </c>
      <c r="E2997" t="s">
        <v>3649</v>
      </c>
      <c r="F2997">
        <v>3380</v>
      </c>
      <c r="G2997" t="s">
        <v>29</v>
      </c>
      <c r="H2997" t="s">
        <v>16</v>
      </c>
      <c r="I2997" t="s">
        <v>186</v>
      </c>
      <c r="J2997" t="s">
        <v>187</v>
      </c>
      <c r="K2997" t="s">
        <v>1809</v>
      </c>
      <c r="L2997" t="str">
        <f>HYPERLINK("https://business-monitor.ch/de/companies/25816-johnsales-holding-gmbh?utm_source=oberaargau","PROFIL ANSEHEN")</f>
        <v>PROFIL ANSEHEN</v>
      </c>
    </row>
    <row r="2998" spans="1:12" x14ac:dyDescent="0.2">
      <c r="A2998" t="s">
        <v>7703</v>
      </c>
      <c r="B2998" t="s">
        <v>7704</v>
      </c>
      <c r="C2998" t="s">
        <v>1812</v>
      </c>
      <c r="E2998" t="s">
        <v>7705</v>
      </c>
      <c r="F2998">
        <v>3360</v>
      </c>
      <c r="G2998" t="s">
        <v>35</v>
      </c>
      <c r="H2998" t="s">
        <v>16</v>
      </c>
      <c r="I2998" t="s">
        <v>340</v>
      </c>
      <c r="J2998" t="s">
        <v>341</v>
      </c>
      <c r="K2998" t="s">
        <v>1809</v>
      </c>
      <c r="L2998" t="str">
        <f>HYPERLINK("https://business-monitor.ch/de/companies/612185-souccess-of-god-afro-shop-abdul-stephen-charles?utm_source=oberaargau","PROFIL ANSEHEN")</f>
        <v>PROFIL ANSEHEN</v>
      </c>
    </row>
    <row r="2999" spans="1:12" x14ac:dyDescent="0.2">
      <c r="A2999" t="s">
        <v>6103</v>
      </c>
      <c r="B2999" t="s">
        <v>6104</v>
      </c>
      <c r="C2999" t="s">
        <v>202</v>
      </c>
      <c r="E2999" t="s">
        <v>823</v>
      </c>
      <c r="F2999">
        <v>4950</v>
      </c>
      <c r="G2999" t="s">
        <v>15</v>
      </c>
      <c r="H2999" t="s">
        <v>16</v>
      </c>
      <c r="I2999" t="s">
        <v>6105</v>
      </c>
      <c r="J2999" t="s">
        <v>6106</v>
      </c>
      <c r="K2999" t="s">
        <v>1809</v>
      </c>
      <c r="L2999" t="str">
        <f>HYPERLINK("https://business-monitor.ch/de/companies/405732-eventro-gmbh?utm_source=oberaargau","PROFIL ANSEHEN")</f>
        <v>PROFIL ANSEHEN</v>
      </c>
    </row>
    <row r="3000" spans="1:12" x14ac:dyDescent="0.2">
      <c r="A3000" t="s">
        <v>2208</v>
      </c>
      <c r="B3000" t="s">
        <v>2209</v>
      </c>
      <c r="C3000" t="s">
        <v>202</v>
      </c>
      <c r="E3000" t="s">
        <v>11599</v>
      </c>
      <c r="F3000">
        <v>4900</v>
      </c>
      <c r="G3000" t="s">
        <v>41</v>
      </c>
      <c r="H3000" t="s">
        <v>16</v>
      </c>
      <c r="I3000" t="s">
        <v>157</v>
      </c>
      <c r="J3000" t="s">
        <v>158</v>
      </c>
      <c r="K3000" t="s">
        <v>1809</v>
      </c>
      <c r="L3000" t="str">
        <f>HYPERLINK("https://business-monitor.ch/de/companies/1067766-go-makler-gmbh?utm_source=oberaargau","PROFIL ANSEHEN")</f>
        <v>PROFIL ANSEHEN</v>
      </c>
    </row>
    <row r="3001" spans="1:12" x14ac:dyDescent="0.2">
      <c r="A3001" t="s">
        <v>4381</v>
      </c>
      <c r="B3001" t="s">
        <v>4382</v>
      </c>
      <c r="C3001" t="s">
        <v>13</v>
      </c>
      <c r="D3001" t="s">
        <v>4383</v>
      </c>
      <c r="E3001" t="s">
        <v>3213</v>
      </c>
      <c r="F3001">
        <v>4950</v>
      </c>
      <c r="G3001" t="s">
        <v>15</v>
      </c>
      <c r="H3001" t="s">
        <v>16</v>
      </c>
      <c r="I3001" t="s">
        <v>182</v>
      </c>
      <c r="J3001" t="s">
        <v>183</v>
      </c>
      <c r="K3001" t="s">
        <v>1809</v>
      </c>
      <c r="L3001" t="str">
        <f>HYPERLINK("https://business-monitor.ch/de/companies/949310-bt-wiese-holding-ag?utm_source=oberaargau","PROFIL ANSEHEN")</f>
        <v>PROFIL ANSEHEN</v>
      </c>
    </row>
    <row r="3002" spans="1:12" x14ac:dyDescent="0.2">
      <c r="A3002" t="s">
        <v>8430</v>
      </c>
      <c r="B3002" t="s">
        <v>8431</v>
      </c>
      <c r="C3002" t="s">
        <v>13</v>
      </c>
      <c r="E3002" t="s">
        <v>2015</v>
      </c>
      <c r="F3002">
        <v>4912</v>
      </c>
      <c r="G3002" t="s">
        <v>64</v>
      </c>
      <c r="H3002" t="s">
        <v>16</v>
      </c>
      <c r="I3002" t="s">
        <v>260</v>
      </c>
      <c r="J3002" t="s">
        <v>261</v>
      </c>
      <c r="K3002" t="s">
        <v>1809</v>
      </c>
      <c r="L3002" t="str">
        <f>HYPERLINK("https://business-monitor.ch/de/companies/234294-land-haus-bautreuhand-ag?utm_source=oberaargau","PROFIL ANSEHEN")</f>
        <v>PROFIL ANSEHEN</v>
      </c>
    </row>
    <row r="3003" spans="1:12" x14ac:dyDescent="0.2">
      <c r="A3003" t="s">
        <v>10230</v>
      </c>
      <c r="B3003" t="s">
        <v>10231</v>
      </c>
      <c r="C3003" t="s">
        <v>1812</v>
      </c>
      <c r="E3003" t="s">
        <v>6705</v>
      </c>
      <c r="F3003">
        <v>4900</v>
      </c>
      <c r="G3003" t="s">
        <v>41</v>
      </c>
      <c r="H3003" t="s">
        <v>16</v>
      </c>
      <c r="I3003" t="s">
        <v>551</v>
      </c>
      <c r="J3003" t="s">
        <v>552</v>
      </c>
      <c r="K3003" t="s">
        <v>1809</v>
      </c>
      <c r="L3003" t="str">
        <f>HYPERLINK("https://business-monitor.ch/de/companies/605487-meyer-management-development?utm_source=oberaargau","PROFIL ANSEHEN")</f>
        <v>PROFIL ANSEHEN</v>
      </c>
    </row>
    <row r="3004" spans="1:12" x14ac:dyDescent="0.2">
      <c r="A3004" t="s">
        <v>13250</v>
      </c>
      <c r="B3004" t="s">
        <v>13251</v>
      </c>
      <c r="C3004" t="s">
        <v>202</v>
      </c>
      <c r="E3004" t="s">
        <v>4405</v>
      </c>
      <c r="F3004">
        <v>4537</v>
      </c>
      <c r="G3004" t="s">
        <v>113</v>
      </c>
      <c r="H3004" t="s">
        <v>16</v>
      </c>
      <c r="I3004" t="s">
        <v>642</v>
      </c>
      <c r="J3004" t="s">
        <v>643</v>
      </c>
      <c r="K3004" t="s">
        <v>1809</v>
      </c>
      <c r="L3004" t="str">
        <f>HYPERLINK("https://business-monitor.ch/de/companies/1091299-autowerkstatt-matthias-bussmann-gmbh?utm_source=oberaargau","PROFIL ANSEHEN")</f>
        <v>PROFIL ANSEHEN</v>
      </c>
    </row>
    <row r="3005" spans="1:12" x14ac:dyDescent="0.2">
      <c r="A3005" t="s">
        <v>7549</v>
      </c>
      <c r="B3005" t="s">
        <v>7550</v>
      </c>
      <c r="C3005" t="s">
        <v>1922</v>
      </c>
      <c r="D3005" t="s">
        <v>7551</v>
      </c>
      <c r="E3005" t="s">
        <v>7552</v>
      </c>
      <c r="F3005">
        <v>3375</v>
      </c>
      <c r="G3005" t="s">
        <v>667</v>
      </c>
      <c r="H3005" t="s">
        <v>16</v>
      </c>
      <c r="I3005" t="s">
        <v>1924</v>
      </c>
      <c r="J3005" t="s">
        <v>1925</v>
      </c>
      <c r="K3005" t="s">
        <v>1809</v>
      </c>
      <c r="L3005" t="str">
        <f>HYPERLINK("https://business-monitor.ch/de/companies/699035-max-und-germaine-urben-stiftung?utm_source=oberaargau","PROFIL ANSEHEN")</f>
        <v>PROFIL ANSEHEN</v>
      </c>
    </row>
    <row r="3006" spans="1:12" x14ac:dyDescent="0.2">
      <c r="A3006" t="s">
        <v>11504</v>
      </c>
      <c r="B3006" t="s">
        <v>11505</v>
      </c>
      <c r="C3006" t="s">
        <v>202</v>
      </c>
      <c r="D3006" t="s">
        <v>11506</v>
      </c>
      <c r="E3006" t="s">
        <v>11507</v>
      </c>
      <c r="F3006">
        <v>4922</v>
      </c>
      <c r="G3006" t="s">
        <v>1318</v>
      </c>
      <c r="H3006" t="s">
        <v>16</v>
      </c>
      <c r="I3006" t="s">
        <v>4213</v>
      </c>
      <c r="J3006" t="s">
        <v>4214</v>
      </c>
      <c r="K3006" t="s">
        <v>1809</v>
      </c>
      <c r="L3006" t="str">
        <f>HYPERLINK("https://business-monitor.ch/de/companies/1141295-just-in-time-management-gmbh?utm_source=oberaargau","PROFIL ANSEHEN")</f>
        <v>PROFIL ANSEHEN</v>
      </c>
    </row>
    <row r="3007" spans="1:12" x14ac:dyDescent="0.2">
      <c r="A3007" t="s">
        <v>8668</v>
      </c>
      <c r="B3007" t="s">
        <v>8669</v>
      </c>
      <c r="C3007" t="s">
        <v>202</v>
      </c>
      <c r="E3007" t="s">
        <v>8670</v>
      </c>
      <c r="F3007">
        <v>4932</v>
      </c>
      <c r="G3007" t="s">
        <v>325</v>
      </c>
      <c r="H3007" t="s">
        <v>16</v>
      </c>
      <c r="I3007" t="s">
        <v>59</v>
      </c>
      <c r="J3007" t="s">
        <v>60</v>
      </c>
      <c r="K3007" t="s">
        <v>1809</v>
      </c>
      <c r="L3007" t="str">
        <f>HYPERLINK("https://business-monitor.ch/de/companies/398422-ich-und-du-gastro-gmbh?utm_source=oberaargau","PROFIL ANSEHEN")</f>
        <v>PROFIL ANSEHEN</v>
      </c>
    </row>
    <row r="3008" spans="1:12" x14ac:dyDescent="0.2">
      <c r="A3008" t="s">
        <v>8290</v>
      </c>
      <c r="B3008" t="s">
        <v>8291</v>
      </c>
      <c r="C3008" t="s">
        <v>202</v>
      </c>
      <c r="E3008" t="s">
        <v>8292</v>
      </c>
      <c r="F3008">
        <v>4934</v>
      </c>
      <c r="G3008" t="s">
        <v>670</v>
      </c>
      <c r="H3008" t="s">
        <v>16</v>
      </c>
      <c r="I3008" t="s">
        <v>642</v>
      </c>
      <c r="J3008" t="s">
        <v>643</v>
      </c>
      <c r="K3008" t="s">
        <v>1809</v>
      </c>
      <c r="L3008" t="str">
        <f>HYPERLINK("https://business-monitor.ch/de/companies/1021171-schneetimer-gmbh?utm_source=oberaargau","PROFIL ANSEHEN")</f>
        <v>PROFIL ANSEHEN</v>
      </c>
    </row>
    <row r="3009" spans="1:12" x14ac:dyDescent="0.2">
      <c r="A3009" t="s">
        <v>11592</v>
      </c>
      <c r="B3009" t="s">
        <v>11593</v>
      </c>
      <c r="C3009" t="s">
        <v>13</v>
      </c>
      <c r="E3009" t="s">
        <v>1190</v>
      </c>
      <c r="F3009">
        <v>4900</v>
      </c>
      <c r="G3009" t="s">
        <v>41</v>
      </c>
      <c r="H3009" t="s">
        <v>16</v>
      </c>
      <c r="I3009" t="s">
        <v>587</v>
      </c>
      <c r="J3009" t="s">
        <v>588</v>
      </c>
      <c r="K3009" t="s">
        <v>1809</v>
      </c>
      <c r="L3009" t="str">
        <f>HYPERLINK("https://business-monitor.ch/de/companies/1142898-berel-ag?utm_source=oberaargau","PROFIL ANSEHEN")</f>
        <v>PROFIL ANSEHEN</v>
      </c>
    </row>
    <row r="3010" spans="1:12" x14ac:dyDescent="0.2">
      <c r="A3010" t="s">
        <v>11926</v>
      </c>
      <c r="B3010" t="s">
        <v>11927</v>
      </c>
      <c r="C3010" t="s">
        <v>202</v>
      </c>
      <c r="E3010" t="s">
        <v>10632</v>
      </c>
      <c r="F3010">
        <v>3360</v>
      </c>
      <c r="G3010" t="s">
        <v>35</v>
      </c>
      <c r="H3010" t="s">
        <v>16</v>
      </c>
      <c r="I3010" t="s">
        <v>642</v>
      </c>
      <c r="J3010" t="s">
        <v>643</v>
      </c>
      <c r="K3010" t="s">
        <v>1809</v>
      </c>
      <c r="L3010" t="str">
        <f>HYPERLINK("https://business-monitor.ch/de/companies/1169530-wyss-plus-gmbh?utm_source=oberaargau","PROFIL ANSEHEN")</f>
        <v>PROFIL ANSEHEN</v>
      </c>
    </row>
    <row r="3011" spans="1:12" x14ac:dyDescent="0.2">
      <c r="A3011" t="s">
        <v>11863</v>
      </c>
      <c r="B3011" t="s">
        <v>11864</v>
      </c>
      <c r="C3011" t="s">
        <v>202</v>
      </c>
      <c r="E3011" t="s">
        <v>9502</v>
      </c>
      <c r="F3011">
        <v>4537</v>
      </c>
      <c r="G3011" t="s">
        <v>113</v>
      </c>
      <c r="H3011" t="s">
        <v>16</v>
      </c>
      <c r="I3011" t="s">
        <v>1855</v>
      </c>
      <c r="J3011" t="s">
        <v>1856</v>
      </c>
      <c r="K3011" t="s">
        <v>1809</v>
      </c>
      <c r="L3011" t="str">
        <f>HYPERLINK("https://business-monitor.ch/de/companies/1175176-laserqueen-gmbh?utm_source=oberaargau","PROFIL ANSEHEN")</f>
        <v>PROFIL ANSEHEN</v>
      </c>
    </row>
    <row r="3012" spans="1:12" x14ac:dyDescent="0.2">
      <c r="A3012" t="s">
        <v>13926</v>
      </c>
      <c r="B3012" t="s">
        <v>13927</v>
      </c>
      <c r="C3012" t="s">
        <v>202</v>
      </c>
      <c r="E3012" t="s">
        <v>13928</v>
      </c>
      <c r="F3012">
        <v>4932</v>
      </c>
      <c r="G3012" t="s">
        <v>325</v>
      </c>
      <c r="H3012" t="s">
        <v>16</v>
      </c>
      <c r="I3012" t="s">
        <v>464</v>
      </c>
      <c r="J3012" t="s">
        <v>465</v>
      </c>
      <c r="K3012" t="s">
        <v>1809</v>
      </c>
      <c r="L3012" t="str">
        <f>HYPERLINK("https://business-monitor.ch/de/companies/652784-df-transporte-gmbh?utm_source=oberaargau","PROFIL ANSEHEN")</f>
        <v>PROFIL ANSEHEN</v>
      </c>
    </row>
    <row r="3013" spans="1:12" x14ac:dyDescent="0.2">
      <c r="A3013" t="s">
        <v>6297</v>
      </c>
      <c r="B3013" t="s">
        <v>6298</v>
      </c>
      <c r="C3013" t="s">
        <v>1812</v>
      </c>
      <c r="E3013" t="s">
        <v>6299</v>
      </c>
      <c r="F3013">
        <v>3375</v>
      </c>
      <c r="G3013" t="s">
        <v>667</v>
      </c>
      <c r="H3013" t="s">
        <v>16</v>
      </c>
      <c r="I3013" t="s">
        <v>1267</v>
      </c>
      <c r="J3013" t="s">
        <v>1268</v>
      </c>
      <c r="K3013" t="s">
        <v>1809</v>
      </c>
      <c r="L3013" t="str">
        <f>HYPERLINK("https://business-monitor.ch/de/companies/338609-jakob-health-business?utm_source=oberaargau","PROFIL ANSEHEN")</f>
        <v>PROFIL ANSEHEN</v>
      </c>
    </row>
    <row r="3014" spans="1:12" x14ac:dyDescent="0.2">
      <c r="A3014" t="s">
        <v>4487</v>
      </c>
      <c r="B3014" t="s">
        <v>4488</v>
      </c>
      <c r="C3014" t="s">
        <v>13</v>
      </c>
      <c r="E3014" t="s">
        <v>11343</v>
      </c>
      <c r="F3014">
        <v>4900</v>
      </c>
      <c r="G3014" t="s">
        <v>41</v>
      </c>
      <c r="H3014" t="s">
        <v>16</v>
      </c>
      <c r="I3014" t="s">
        <v>935</v>
      </c>
      <c r="J3014" t="s">
        <v>936</v>
      </c>
      <c r="K3014" t="s">
        <v>1809</v>
      </c>
      <c r="L3014" t="str">
        <f>HYPERLINK("https://business-monitor.ch/de/companies/702755-mvg-holding-ag?utm_source=oberaargau","PROFIL ANSEHEN")</f>
        <v>PROFIL ANSEHEN</v>
      </c>
    </row>
    <row r="3015" spans="1:12" x14ac:dyDescent="0.2">
      <c r="A3015" t="s">
        <v>10035</v>
      </c>
      <c r="B3015" t="s">
        <v>10036</v>
      </c>
      <c r="C3015" t="s">
        <v>202</v>
      </c>
      <c r="D3015" t="s">
        <v>10037</v>
      </c>
      <c r="E3015" t="s">
        <v>10038</v>
      </c>
      <c r="F3015">
        <v>4900</v>
      </c>
      <c r="G3015" t="s">
        <v>41</v>
      </c>
      <c r="H3015" t="s">
        <v>16</v>
      </c>
      <c r="I3015" t="s">
        <v>2534</v>
      </c>
      <c r="J3015" t="s">
        <v>2535</v>
      </c>
      <c r="K3015" t="s">
        <v>1809</v>
      </c>
      <c r="L3015" t="str">
        <f>HYPERLINK("https://business-monitor.ch/de/companies/702914-agentur-blue-travel-gmbh?utm_source=oberaargau","PROFIL ANSEHEN")</f>
        <v>PROFIL ANSEHEN</v>
      </c>
    </row>
    <row r="3016" spans="1:12" x14ac:dyDescent="0.2">
      <c r="A3016" t="s">
        <v>9403</v>
      </c>
      <c r="B3016" t="s">
        <v>9411</v>
      </c>
      <c r="C3016" t="s">
        <v>1812</v>
      </c>
      <c r="E3016" t="s">
        <v>9412</v>
      </c>
      <c r="F3016">
        <v>4900</v>
      </c>
      <c r="G3016" t="s">
        <v>41</v>
      </c>
      <c r="H3016" t="s">
        <v>16</v>
      </c>
      <c r="I3016" t="s">
        <v>640</v>
      </c>
      <c r="J3016" t="s">
        <v>641</v>
      </c>
      <c r="K3016" t="s">
        <v>1809</v>
      </c>
      <c r="L3016" t="str">
        <f>HYPERLINK("https://business-monitor.ch/de/companies/32439-hotland-party-schmidiger?utm_source=oberaargau","PROFIL ANSEHEN")</f>
        <v>PROFIL ANSEHEN</v>
      </c>
    </row>
    <row r="3017" spans="1:12" x14ac:dyDescent="0.2">
      <c r="A3017" t="s">
        <v>5642</v>
      </c>
      <c r="B3017" t="s">
        <v>5643</v>
      </c>
      <c r="C3017" t="s">
        <v>1922</v>
      </c>
      <c r="D3017" t="s">
        <v>5644</v>
      </c>
      <c r="E3017" t="s">
        <v>5645</v>
      </c>
      <c r="F3017">
        <v>4937</v>
      </c>
      <c r="G3017" t="s">
        <v>951</v>
      </c>
      <c r="H3017" t="s">
        <v>16</v>
      </c>
      <c r="I3017" t="s">
        <v>2591</v>
      </c>
      <c r="J3017" t="s">
        <v>2592</v>
      </c>
      <c r="K3017" t="s">
        <v>1809</v>
      </c>
      <c r="L3017" t="str">
        <f>HYPERLINK("https://business-monitor.ch/de/companies/331357-alterssiedlung-ursenbach?utm_source=oberaargau","PROFIL ANSEHEN")</f>
        <v>PROFIL ANSEHEN</v>
      </c>
    </row>
    <row r="3018" spans="1:12" x14ac:dyDescent="0.2">
      <c r="A3018" t="s">
        <v>2100</v>
      </c>
      <c r="B3018" t="s">
        <v>2101</v>
      </c>
      <c r="C3018" t="s">
        <v>1812</v>
      </c>
      <c r="E3018" t="s">
        <v>1346</v>
      </c>
      <c r="F3018">
        <v>4950</v>
      </c>
      <c r="G3018" t="s">
        <v>15</v>
      </c>
      <c r="H3018" t="s">
        <v>16</v>
      </c>
      <c r="I3018" t="s">
        <v>24</v>
      </c>
      <c r="J3018" t="s">
        <v>25</v>
      </c>
      <c r="K3018" t="s">
        <v>1809</v>
      </c>
      <c r="L3018" t="str">
        <f>HYPERLINK("https://business-monitor.ch/de/companies/82515-aisoft-anliker-industrie-software?utm_source=oberaargau","PROFIL ANSEHEN")</f>
        <v>PROFIL ANSEHEN</v>
      </c>
    </row>
    <row r="3019" spans="1:12" x14ac:dyDescent="0.2">
      <c r="A3019" t="s">
        <v>6961</v>
      </c>
      <c r="B3019" t="s">
        <v>6962</v>
      </c>
      <c r="C3019" t="s">
        <v>13</v>
      </c>
      <c r="D3019" t="s">
        <v>592</v>
      </c>
      <c r="E3019" t="s">
        <v>402</v>
      </c>
      <c r="F3019">
        <v>4901</v>
      </c>
      <c r="G3019" t="s">
        <v>41</v>
      </c>
      <c r="H3019" t="s">
        <v>16</v>
      </c>
      <c r="I3019" t="s">
        <v>182</v>
      </c>
      <c r="J3019" t="s">
        <v>183</v>
      </c>
      <c r="K3019" t="s">
        <v>1809</v>
      </c>
      <c r="L3019" t="str">
        <f>HYPERLINK("https://business-monitor.ch/de/companies/164386-wecom-ag?utm_source=oberaargau","PROFIL ANSEHEN")</f>
        <v>PROFIL ANSEHEN</v>
      </c>
    </row>
    <row r="3020" spans="1:12" x14ac:dyDescent="0.2">
      <c r="A3020" t="s">
        <v>6346</v>
      </c>
      <c r="B3020" t="s">
        <v>6347</v>
      </c>
      <c r="C3020" t="s">
        <v>202</v>
      </c>
      <c r="E3020" t="s">
        <v>6348</v>
      </c>
      <c r="F3020">
        <v>4952</v>
      </c>
      <c r="G3020" t="s">
        <v>474</v>
      </c>
      <c r="H3020" t="s">
        <v>16</v>
      </c>
      <c r="I3020" t="s">
        <v>281</v>
      </c>
      <c r="J3020" t="s">
        <v>282</v>
      </c>
      <c r="K3020" t="s">
        <v>1809</v>
      </c>
      <c r="L3020" t="str">
        <f>HYPERLINK("https://business-monitor.ch/de/companies/317914-wuethrich-landmaschinen-gmbh?utm_source=oberaargau","PROFIL ANSEHEN")</f>
        <v>PROFIL ANSEHEN</v>
      </c>
    </row>
    <row r="3021" spans="1:12" x14ac:dyDescent="0.2">
      <c r="A3021" t="s">
        <v>971</v>
      </c>
      <c r="B3021" t="s">
        <v>972</v>
      </c>
      <c r="C3021" t="s">
        <v>13</v>
      </c>
      <c r="E3021" t="s">
        <v>973</v>
      </c>
      <c r="F3021">
        <v>4938</v>
      </c>
      <c r="G3021" t="s">
        <v>618</v>
      </c>
      <c r="H3021" t="s">
        <v>16</v>
      </c>
      <c r="I3021" t="s">
        <v>974</v>
      </c>
      <c r="J3021" t="s">
        <v>975</v>
      </c>
      <c r="K3021" t="s">
        <v>1809</v>
      </c>
      <c r="L3021" t="str">
        <f>HYPERLINK("https://business-monitor.ch/de/companies/191015-fankhauser-ag-huttwil-rohrbach?utm_source=oberaargau","PROFIL ANSEHEN")</f>
        <v>PROFIL ANSEHEN</v>
      </c>
    </row>
    <row r="3022" spans="1:12" x14ac:dyDescent="0.2">
      <c r="A3022" t="s">
        <v>2608</v>
      </c>
      <c r="B3022" t="s">
        <v>2609</v>
      </c>
      <c r="C3022" t="s">
        <v>13</v>
      </c>
      <c r="E3022" t="s">
        <v>2610</v>
      </c>
      <c r="F3022">
        <v>4923</v>
      </c>
      <c r="G3022" t="s">
        <v>732</v>
      </c>
      <c r="H3022" t="s">
        <v>16</v>
      </c>
      <c r="I3022" t="s">
        <v>1841</v>
      </c>
      <c r="J3022" t="s">
        <v>1842</v>
      </c>
      <c r="K3022" t="s">
        <v>1809</v>
      </c>
      <c r="L3022" t="str">
        <f>HYPERLINK("https://business-monitor.ch/de/companies/502036-zhong-yi-medizin-ag?utm_source=oberaargau","PROFIL ANSEHEN")</f>
        <v>PROFIL ANSEHEN</v>
      </c>
    </row>
    <row r="3023" spans="1:12" x14ac:dyDescent="0.2">
      <c r="A3023" t="s">
        <v>3373</v>
      </c>
      <c r="B3023" t="s">
        <v>3374</v>
      </c>
      <c r="C3023" t="s">
        <v>13</v>
      </c>
      <c r="E3023" t="s">
        <v>3375</v>
      </c>
      <c r="F3023">
        <v>4536</v>
      </c>
      <c r="G3023" t="s">
        <v>1395</v>
      </c>
      <c r="H3023" t="s">
        <v>16</v>
      </c>
      <c r="I3023" t="s">
        <v>3376</v>
      </c>
      <c r="J3023" t="s">
        <v>3377</v>
      </c>
      <c r="K3023" t="s">
        <v>1809</v>
      </c>
      <c r="L3023" t="str">
        <f>HYPERLINK("https://business-monitor.ch/de/companies/207211-hobako-ag?utm_source=oberaargau","PROFIL ANSEHEN")</f>
        <v>PROFIL ANSEHEN</v>
      </c>
    </row>
    <row r="3024" spans="1:12" x14ac:dyDescent="0.2">
      <c r="A3024" t="s">
        <v>9445</v>
      </c>
      <c r="B3024" t="s">
        <v>9446</v>
      </c>
      <c r="C3024" t="s">
        <v>13</v>
      </c>
      <c r="E3024" t="s">
        <v>1115</v>
      </c>
      <c r="F3024">
        <v>4950</v>
      </c>
      <c r="G3024" t="s">
        <v>15</v>
      </c>
      <c r="H3024" t="s">
        <v>16</v>
      </c>
      <c r="I3024" t="s">
        <v>232</v>
      </c>
      <c r="J3024" t="s">
        <v>233</v>
      </c>
      <c r="K3024" t="s">
        <v>1809</v>
      </c>
      <c r="L3024" t="str">
        <f>HYPERLINK("https://business-monitor.ch/de/companies/234021-fankhauser-partner-ag?utm_source=oberaargau","PROFIL ANSEHEN")</f>
        <v>PROFIL ANSEHEN</v>
      </c>
    </row>
    <row r="3025" spans="1:12" x14ac:dyDescent="0.2">
      <c r="A3025" t="s">
        <v>7504</v>
      </c>
      <c r="B3025" t="s">
        <v>7505</v>
      </c>
      <c r="C3025" t="s">
        <v>13</v>
      </c>
      <c r="E3025" t="s">
        <v>4474</v>
      </c>
      <c r="F3025">
        <v>4923</v>
      </c>
      <c r="G3025" t="s">
        <v>732</v>
      </c>
      <c r="H3025" t="s">
        <v>16</v>
      </c>
      <c r="I3025" t="s">
        <v>1865</v>
      </c>
      <c r="J3025" t="s">
        <v>1866</v>
      </c>
      <c r="K3025" t="s">
        <v>1809</v>
      </c>
      <c r="L3025" t="str">
        <f>HYPERLINK("https://business-monitor.ch/de/companies/720559-berwy-ag?utm_source=oberaargau","PROFIL ANSEHEN")</f>
        <v>PROFIL ANSEHEN</v>
      </c>
    </row>
    <row r="3026" spans="1:12" x14ac:dyDescent="0.2">
      <c r="A3026" t="s">
        <v>5916</v>
      </c>
      <c r="B3026" t="s">
        <v>5917</v>
      </c>
      <c r="C3026" t="s">
        <v>202</v>
      </c>
      <c r="E3026" t="s">
        <v>5918</v>
      </c>
      <c r="F3026">
        <v>3363</v>
      </c>
      <c r="G3026" t="s">
        <v>1367</v>
      </c>
      <c r="H3026" t="s">
        <v>16</v>
      </c>
      <c r="I3026" t="s">
        <v>298</v>
      </c>
      <c r="J3026" t="s">
        <v>299</v>
      </c>
      <c r="K3026" t="s">
        <v>1809</v>
      </c>
      <c r="L3026" t="str">
        <f>HYPERLINK("https://business-monitor.ch/de/companies/489280-haas-u-kellhofer-gmbh?utm_source=oberaargau","PROFIL ANSEHEN")</f>
        <v>PROFIL ANSEHEN</v>
      </c>
    </row>
    <row r="3027" spans="1:12" x14ac:dyDescent="0.2">
      <c r="A3027" t="s">
        <v>8825</v>
      </c>
      <c r="B3027" t="s">
        <v>8826</v>
      </c>
      <c r="C3027" t="s">
        <v>202</v>
      </c>
      <c r="E3027" t="s">
        <v>7758</v>
      </c>
      <c r="F3027">
        <v>4900</v>
      </c>
      <c r="G3027" t="s">
        <v>41</v>
      </c>
      <c r="H3027" t="s">
        <v>16</v>
      </c>
      <c r="I3027" t="s">
        <v>2045</v>
      </c>
      <c r="J3027" t="s">
        <v>2046</v>
      </c>
      <c r="K3027" t="s">
        <v>1809</v>
      </c>
      <c r="L3027" t="str">
        <f>HYPERLINK("https://business-monitor.ch/de/companies/339284-geissbuehler-schmuck-gmbh?utm_source=oberaargau","PROFIL ANSEHEN")</f>
        <v>PROFIL ANSEHEN</v>
      </c>
    </row>
    <row r="3028" spans="1:12" x14ac:dyDescent="0.2">
      <c r="A3028" t="s">
        <v>6463</v>
      </c>
      <c r="B3028" t="s">
        <v>6464</v>
      </c>
      <c r="C3028" t="s">
        <v>13</v>
      </c>
      <c r="E3028" t="s">
        <v>550</v>
      </c>
      <c r="F3028">
        <v>4900</v>
      </c>
      <c r="G3028" t="s">
        <v>41</v>
      </c>
      <c r="H3028" t="s">
        <v>16</v>
      </c>
      <c r="I3028" t="s">
        <v>186</v>
      </c>
      <c r="J3028" t="s">
        <v>187</v>
      </c>
      <c r="K3028" t="s">
        <v>1809</v>
      </c>
      <c r="L3028" t="str">
        <f>HYPERLINK("https://business-monitor.ch/de/companies/266743-masterinvest-ag?utm_source=oberaargau","PROFIL ANSEHEN")</f>
        <v>PROFIL ANSEHEN</v>
      </c>
    </row>
    <row r="3029" spans="1:12" x14ac:dyDescent="0.2">
      <c r="A3029" t="s">
        <v>9783</v>
      </c>
      <c r="B3029" t="s">
        <v>9784</v>
      </c>
      <c r="C3029" t="s">
        <v>202</v>
      </c>
      <c r="E3029" t="s">
        <v>9785</v>
      </c>
      <c r="F3029">
        <v>4704</v>
      </c>
      <c r="G3029" t="s">
        <v>221</v>
      </c>
      <c r="H3029" t="s">
        <v>16</v>
      </c>
      <c r="I3029" t="s">
        <v>260</v>
      </c>
      <c r="J3029" t="s">
        <v>261</v>
      </c>
      <c r="K3029" t="s">
        <v>1809</v>
      </c>
      <c r="L3029" t="str">
        <f>HYPERLINK("https://business-monitor.ch/de/companies/1021775-born-architektur-gmbh?utm_source=oberaargau","PROFIL ANSEHEN")</f>
        <v>PROFIL ANSEHEN</v>
      </c>
    </row>
    <row r="3030" spans="1:12" x14ac:dyDescent="0.2">
      <c r="A3030" t="s">
        <v>4550</v>
      </c>
      <c r="B3030" t="s">
        <v>4551</v>
      </c>
      <c r="C3030" t="s">
        <v>13</v>
      </c>
      <c r="D3030" t="s">
        <v>4552</v>
      </c>
      <c r="E3030" t="s">
        <v>1435</v>
      </c>
      <c r="F3030">
        <v>3367</v>
      </c>
      <c r="G3030" t="s">
        <v>455</v>
      </c>
      <c r="H3030" t="s">
        <v>16</v>
      </c>
      <c r="I3030" t="s">
        <v>186</v>
      </c>
      <c r="J3030" t="s">
        <v>187</v>
      </c>
      <c r="K3030" t="s">
        <v>1809</v>
      </c>
      <c r="L3030" t="str">
        <f>HYPERLINK("https://business-monitor.ch/de/companies/656485-staub-beteiligungen-ag?utm_source=oberaargau","PROFIL ANSEHEN")</f>
        <v>PROFIL ANSEHEN</v>
      </c>
    </row>
    <row r="3031" spans="1:12" x14ac:dyDescent="0.2">
      <c r="A3031" t="s">
        <v>8408</v>
      </c>
      <c r="B3031" t="s">
        <v>8409</v>
      </c>
      <c r="C3031" t="s">
        <v>202</v>
      </c>
      <c r="E3031" t="s">
        <v>8410</v>
      </c>
      <c r="F3031">
        <v>4938</v>
      </c>
      <c r="G3031" t="s">
        <v>618</v>
      </c>
      <c r="H3031" t="s">
        <v>16</v>
      </c>
      <c r="I3031" t="s">
        <v>1535</v>
      </c>
      <c r="J3031" t="s">
        <v>1536</v>
      </c>
      <c r="K3031" t="s">
        <v>1809</v>
      </c>
      <c r="L3031" t="str">
        <f>HYPERLINK("https://business-monitor.ch/de/companies/525735-loosli-gartenwelt-gmbh?utm_source=oberaargau","PROFIL ANSEHEN")</f>
        <v>PROFIL ANSEHEN</v>
      </c>
    </row>
    <row r="3032" spans="1:12" x14ac:dyDescent="0.2">
      <c r="A3032" t="s">
        <v>6307</v>
      </c>
      <c r="B3032" t="s">
        <v>6308</v>
      </c>
      <c r="C3032" t="s">
        <v>13</v>
      </c>
      <c r="E3032" t="s">
        <v>6309</v>
      </c>
      <c r="F3032">
        <v>4922</v>
      </c>
      <c r="G3032" t="s">
        <v>99</v>
      </c>
      <c r="H3032" t="s">
        <v>16</v>
      </c>
      <c r="I3032" t="s">
        <v>331</v>
      </c>
      <c r="J3032" t="s">
        <v>332</v>
      </c>
      <c r="K3032" t="s">
        <v>1809</v>
      </c>
      <c r="L3032" t="str">
        <f>HYPERLINK("https://business-monitor.ch/de/companies/333271-hug-muehlen-und-maschinenbau-ag?utm_source=oberaargau","PROFIL ANSEHEN")</f>
        <v>PROFIL ANSEHEN</v>
      </c>
    </row>
    <row r="3033" spans="1:12" x14ac:dyDescent="0.2">
      <c r="A3033" t="s">
        <v>8330</v>
      </c>
      <c r="B3033" t="s">
        <v>8331</v>
      </c>
      <c r="C3033" t="s">
        <v>202</v>
      </c>
      <c r="E3033" t="s">
        <v>8332</v>
      </c>
      <c r="F3033">
        <v>4704</v>
      </c>
      <c r="G3033" t="s">
        <v>221</v>
      </c>
      <c r="H3033" t="s">
        <v>16</v>
      </c>
      <c r="I3033" t="s">
        <v>24</v>
      </c>
      <c r="J3033" t="s">
        <v>25</v>
      </c>
      <c r="K3033" t="s">
        <v>1809</v>
      </c>
      <c r="L3033" t="str">
        <f>HYPERLINK("https://business-monitor.ch/de/companies/310443-itct-gmbh?utm_source=oberaargau","PROFIL ANSEHEN")</f>
        <v>PROFIL ANSEHEN</v>
      </c>
    </row>
    <row r="3034" spans="1:12" x14ac:dyDescent="0.2">
      <c r="A3034" t="s">
        <v>8998</v>
      </c>
      <c r="B3034" t="s">
        <v>11195</v>
      </c>
      <c r="C3034" t="s">
        <v>13</v>
      </c>
      <c r="E3034" t="s">
        <v>550</v>
      </c>
      <c r="F3034">
        <v>4900</v>
      </c>
      <c r="G3034" t="s">
        <v>41</v>
      </c>
      <c r="H3034" t="s">
        <v>16</v>
      </c>
      <c r="I3034" t="s">
        <v>551</v>
      </c>
      <c r="J3034" t="s">
        <v>552</v>
      </c>
      <c r="K3034" t="s">
        <v>1809</v>
      </c>
      <c r="L3034" t="str">
        <f>HYPERLINK("https://business-monitor.ch/de/companies/240074-newborn-capital-ag?utm_source=oberaargau","PROFIL ANSEHEN")</f>
        <v>PROFIL ANSEHEN</v>
      </c>
    </row>
    <row r="3035" spans="1:12" x14ac:dyDescent="0.2">
      <c r="A3035" t="s">
        <v>10600</v>
      </c>
      <c r="B3035" t="s">
        <v>10601</v>
      </c>
      <c r="C3035" t="s">
        <v>1812</v>
      </c>
      <c r="D3035" t="s">
        <v>14561</v>
      </c>
      <c r="E3035" t="s">
        <v>14562</v>
      </c>
      <c r="F3035">
        <v>4944</v>
      </c>
      <c r="G3035" t="s">
        <v>1176</v>
      </c>
      <c r="H3035" t="s">
        <v>16</v>
      </c>
      <c r="I3035" t="s">
        <v>10602</v>
      </c>
      <c r="J3035" t="s">
        <v>10603</v>
      </c>
      <c r="K3035" t="s">
        <v>1809</v>
      </c>
      <c r="L3035" t="str">
        <f>HYPERLINK("https://business-monitor.ch/de/companies/4342-solarreiniger-meister?utm_source=oberaargau","PROFIL ANSEHEN")</f>
        <v>PROFIL ANSEHEN</v>
      </c>
    </row>
    <row r="3036" spans="1:12" x14ac:dyDescent="0.2">
      <c r="A3036" t="s">
        <v>8702</v>
      </c>
      <c r="B3036" t="s">
        <v>8703</v>
      </c>
      <c r="C3036" t="s">
        <v>202</v>
      </c>
      <c r="E3036" t="s">
        <v>10845</v>
      </c>
      <c r="F3036">
        <v>4922</v>
      </c>
      <c r="G3036" t="s">
        <v>99</v>
      </c>
      <c r="H3036" t="s">
        <v>16</v>
      </c>
      <c r="I3036" t="s">
        <v>232</v>
      </c>
      <c r="J3036" t="s">
        <v>233</v>
      </c>
      <c r="K3036" t="s">
        <v>1809</v>
      </c>
      <c r="L3036" t="str">
        <f>HYPERLINK("https://business-monitor.ch/de/companies/400070-adviaris-gmbh?utm_source=oberaargau","PROFIL ANSEHEN")</f>
        <v>PROFIL ANSEHEN</v>
      </c>
    </row>
    <row r="3037" spans="1:12" x14ac:dyDescent="0.2">
      <c r="A3037" t="s">
        <v>11945</v>
      </c>
      <c r="B3037" t="s">
        <v>11946</v>
      </c>
      <c r="C3037" t="s">
        <v>13</v>
      </c>
      <c r="E3037" t="s">
        <v>11947</v>
      </c>
      <c r="F3037">
        <v>4950</v>
      </c>
      <c r="G3037" t="s">
        <v>15</v>
      </c>
      <c r="H3037" t="s">
        <v>16</v>
      </c>
      <c r="I3037" t="s">
        <v>935</v>
      </c>
      <c r="J3037" t="s">
        <v>936</v>
      </c>
      <c r="K3037" t="s">
        <v>1809</v>
      </c>
      <c r="L3037" t="str">
        <f>HYPERLINK("https://business-monitor.ch/de/companies/1168041-thieblot-immobilien-ag?utm_source=oberaargau","PROFIL ANSEHEN")</f>
        <v>PROFIL ANSEHEN</v>
      </c>
    </row>
    <row r="3038" spans="1:12" x14ac:dyDescent="0.2">
      <c r="A3038" t="s">
        <v>11891</v>
      </c>
      <c r="B3038" t="s">
        <v>11892</v>
      </c>
      <c r="C3038" t="s">
        <v>13</v>
      </c>
      <c r="D3038" t="s">
        <v>11893</v>
      </c>
      <c r="E3038" t="s">
        <v>1365</v>
      </c>
      <c r="F3038">
        <v>4923</v>
      </c>
      <c r="G3038" t="s">
        <v>732</v>
      </c>
      <c r="H3038" t="s">
        <v>16</v>
      </c>
      <c r="I3038" t="s">
        <v>182</v>
      </c>
      <c r="J3038" t="s">
        <v>183</v>
      </c>
      <c r="K3038" t="s">
        <v>1809</v>
      </c>
      <c r="L3038" t="str">
        <f>HYPERLINK("https://business-monitor.ch/de/companies/1168065-florepa-holding-ag?utm_source=oberaargau","PROFIL ANSEHEN")</f>
        <v>PROFIL ANSEHEN</v>
      </c>
    </row>
    <row r="3039" spans="1:12" x14ac:dyDescent="0.2">
      <c r="A3039" t="s">
        <v>11953</v>
      </c>
      <c r="B3039" t="s">
        <v>11954</v>
      </c>
      <c r="C3039" t="s">
        <v>1812</v>
      </c>
      <c r="E3039" t="s">
        <v>1146</v>
      </c>
      <c r="F3039">
        <v>3360</v>
      </c>
      <c r="G3039" t="s">
        <v>35</v>
      </c>
      <c r="H3039" t="s">
        <v>16</v>
      </c>
      <c r="I3039" t="s">
        <v>11536</v>
      </c>
      <c r="J3039" t="s">
        <v>11537</v>
      </c>
      <c r="K3039" t="s">
        <v>1809</v>
      </c>
      <c r="L3039" t="str">
        <f>HYPERLINK("https://business-monitor.ch/de/companies/1168174-mikroskop-service-sales-berteotti?utm_source=oberaargau","PROFIL ANSEHEN")</f>
        <v>PROFIL ANSEHEN</v>
      </c>
    </row>
    <row r="3040" spans="1:12" x14ac:dyDescent="0.2">
      <c r="A3040" t="s">
        <v>9204</v>
      </c>
      <c r="B3040" t="s">
        <v>9205</v>
      </c>
      <c r="C3040" t="s">
        <v>13</v>
      </c>
      <c r="E3040" t="s">
        <v>3863</v>
      </c>
      <c r="F3040">
        <v>4900</v>
      </c>
      <c r="G3040" t="s">
        <v>41</v>
      </c>
      <c r="H3040" t="s">
        <v>16</v>
      </c>
      <c r="I3040" t="s">
        <v>24</v>
      </c>
      <c r="J3040" t="s">
        <v>25</v>
      </c>
      <c r="K3040" t="s">
        <v>1809</v>
      </c>
      <c r="L3040" t="str">
        <f>HYPERLINK("https://business-monitor.ch/de/companies/148177-herbert-schaub-ag?utm_source=oberaargau","PROFIL ANSEHEN")</f>
        <v>PROFIL ANSEHEN</v>
      </c>
    </row>
    <row r="3041" spans="1:12" x14ac:dyDescent="0.2">
      <c r="A3041" t="s">
        <v>3186</v>
      </c>
      <c r="B3041" t="s">
        <v>3187</v>
      </c>
      <c r="C3041" t="s">
        <v>2010</v>
      </c>
      <c r="D3041" t="s">
        <v>3188</v>
      </c>
      <c r="E3041" t="s">
        <v>1956</v>
      </c>
      <c r="F3041">
        <v>3360</v>
      </c>
      <c r="G3041" t="s">
        <v>35</v>
      </c>
      <c r="H3041" t="s">
        <v>16</v>
      </c>
      <c r="I3041" t="s">
        <v>642</v>
      </c>
      <c r="J3041" t="s">
        <v>643</v>
      </c>
      <c r="K3041" t="s">
        <v>1809</v>
      </c>
      <c r="L3041" t="str">
        <f>HYPERLINK("https://business-monitor.ch/de/companies/293598-at-automobile-schuepbach-kmg?utm_source=oberaargau","PROFIL ANSEHEN")</f>
        <v>PROFIL ANSEHEN</v>
      </c>
    </row>
    <row r="3042" spans="1:12" x14ac:dyDescent="0.2">
      <c r="A3042" t="s">
        <v>7086</v>
      </c>
      <c r="B3042" t="s">
        <v>7087</v>
      </c>
      <c r="C3042" t="s">
        <v>1827</v>
      </c>
      <c r="E3042" t="s">
        <v>7088</v>
      </c>
      <c r="F3042">
        <v>4911</v>
      </c>
      <c r="G3042" t="s">
        <v>1005</v>
      </c>
      <c r="H3042" t="s">
        <v>16</v>
      </c>
      <c r="I3042" t="s">
        <v>1865</v>
      </c>
      <c r="J3042" t="s">
        <v>1866</v>
      </c>
      <c r="K3042" t="s">
        <v>1809</v>
      </c>
      <c r="L3042" t="str">
        <f>HYPERLINK("https://business-monitor.ch/de/companies/718066-lgs-brunner-klg?utm_source=oberaargau","PROFIL ANSEHEN")</f>
        <v>PROFIL ANSEHEN</v>
      </c>
    </row>
    <row r="3043" spans="1:12" x14ac:dyDescent="0.2">
      <c r="A3043" t="s">
        <v>7125</v>
      </c>
      <c r="B3043" t="s">
        <v>7126</v>
      </c>
      <c r="C3043" t="s">
        <v>1812</v>
      </c>
      <c r="E3043" t="s">
        <v>2862</v>
      </c>
      <c r="F3043">
        <v>4900</v>
      </c>
      <c r="G3043" t="s">
        <v>41</v>
      </c>
      <c r="H3043" t="s">
        <v>16</v>
      </c>
      <c r="I3043" t="s">
        <v>340</v>
      </c>
      <c r="J3043" t="s">
        <v>341</v>
      </c>
      <c r="K3043" t="s">
        <v>1809</v>
      </c>
      <c r="L3043" t="str">
        <f>HYPERLINK("https://business-monitor.ch/de/companies/715059-mueller-handel-und-beratung?utm_source=oberaargau","PROFIL ANSEHEN")</f>
        <v>PROFIL ANSEHEN</v>
      </c>
    </row>
    <row r="3044" spans="1:12" x14ac:dyDescent="0.2">
      <c r="A3044" t="s">
        <v>10837</v>
      </c>
      <c r="B3044" t="s">
        <v>10838</v>
      </c>
      <c r="C3044" t="s">
        <v>202</v>
      </c>
      <c r="E3044" t="s">
        <v>13494</v>
      </c>
      <c r="F3044">
        <v>4704</v>
      </c>
      <c r="G3044" t="s">
        <v>221</v>
      </c>
      <c r="H3044" t="s">
        <v>16</v>
      </c>
      <c r="I3044" t="s">
        <v>1852</v>
      </c>
      <c r="J3044" t="s">
        <v>1853</v>
      </c>
      <c r="K3044" t="s">
        <v>1809</v>
      </c>
      <c r="L3044" t="str">
        <f>HYPERLINK("https://business-monitor.ch/de/companies/1103128-simi-partner-gmbh?utm_source=oberaargau","PROFIL ANSEHEN")</f>
        <v>PROFIL ANSEHEN</v>
      </c>
    </row>
    <row r="3045" spans="1:12" x14ac:dyDescent="0.2">
      <c r="A3045" t="s">
        <v>4472</v>
      </c>
      <c r="B3045" t="s">
        <v>4473</v>
      </c>
      <c r="C3045" t="s">
        <v>202</v>
      </c>
      <c r="E3045" t="s">
        <v>4474</v>
      </c>
      <c r="F3045">
        <v>4923</v>
      </c>
      <c r="G3045" t="s">
        <v>732</v>
      </c>
      <c r="H3045" t="s">
        <v>16</v>
      </c>
      <c r="I3045" t="s">
        <v>1865</v>
      </c>
      <c r="J3045" t="s">
        <v>1866</v>
      </c>
      <c r="K3045" t="s">
        <v>1809</v>
      </c>
      <c r="L3045" t="str">
        <f>HYPERLINK("https://business-monitor.ch/de/companies/719423-papafin-gmbh?utm_source=oberaargau","PROFIL ANSEHEN")</f>
        <v>PROFIL ANSEHEN</v>
      </c>
    </row>
    <row r="3046" spans="1:12" x14ac:dyDescent="0.2">
      <c r="A3046" t="s">
        <v>9460</v>
      </c>
      <c r="B3046" t="s">
        <v>9461</v>
      </c>
      <c r="C3046" t="s">
        <v>202</v>
      </c>
      <c r="E3046" t="s">
        <v>9462</v>
      </c>
      <c r="F3046">
        <v>4900</v>
      </c>
      <c r="G3046" t="s">
        <v>41</v>
      </c>
      <c r="H3046" t="s">
        <v>16</v>
      </c>
      <c r="I3046" t="s">
        <v>551</v>
      </c>
      <c r="J3046" t="s">
        <v>552</v>
      </c>
      <c r="K3046" t="s">
        <v>1809</v>
      </c>
      <c r="L3046" t="str">
        <f>HYPERLINK("https://business-monitor.ch/de/companies/487090-hmconcret-gmbh?utm_source=oberaargau","PROFIL ANSEHEN")</f>
        <v>PROFIL ANSEHEN</v>
      </c>
    </row>
    <row r="3047" spans="1:12" x14ac:dyDescent="0.2">
      <c r="A3047" t="s">
        <v>4019</v>
      </c>
      <c r="B3047" t="s">
        <v>4020</v>
      </c>
      <c r="C3047" t="s">
        <v>13</v>
      </c>
      <c r="E3047" t="s">
        <v>4021</v>
      </c>
      <c r="F3047">
        <v>4922</v>
      </c>
      <c r="G3047" t="s">
        <v>1318</v>
      </c>
      <c r="H3047" t="s">
        <v>16</v>
      </c>
      <c r="I3047" t="s">
        <v>935</v>
      </c>
      <c r="J3047" t="s">
        <v>936</v>
      </c>
      <c r="K3047" t="s">
        <v>1809</v>
      </c>
      <c r="L3047" t="str">
        <f>HYPERLINK("https://business-monitor.ch/de/companies/578072-mtk-real-estate-ag?utm_source=oberaargau","PROFIL ANSEHEN")</f>
        <v>PROFIL ANSEHEN</v>
      </c>
    </row>
    <row r="3048" spans="1:12" x14ac:dyDescent="0.2">
      <c r="A3048" t="s">
        <v>3358</v>
      </c>
      <c r="B3048" t="s">
        <v>3359</v>
      </c>
      <c r="C3048" t="s">
        <v>1812</v>
      </c>
      <c r="E3048" t="s">
        <v>3360</v>
      </c>
      <c r="F3048">
        <v>3362</v>
      </c>
      <c r="G3048" t="s">
        <v>47</v>
      </c>
      <c r="H3048" t="s">
        <v>16</v>
      </c>
      <c r="I3048" t="s">
        <v>3361</v>
      </c>
      <c r="J3048" t="s">
        <v>3362</v>
      </c>
      <c r="K3048" t="s">
        <v>1809</v>
      </c>
      <c r="L3048" t="str">
        <f>HYPERLINK("https://business-monitor.ch/de/companies/209307-atelier-fuer-aussenraumgestaltung-h-r-althaus?utm_source=oberaargau","PROFIL ANSEHEN")</f>
        <v>PROFIL ANSEHEN</v>
      </c>
    </row>
    <row r="3049" spans="1:12" x14ac:dyDescent="0.2">
      <c r="A3049" t="s">
        <v>13191</v>
      </c>
      <c r="B3049" t="s">
        <v>13192</v>
      </c>
      <c r="C3049" t="s">
        <v>13</v>
      </c>
      <c r="D3049" t="s">
        <v>13193</v>
      </c>
      <c r="E3049" t="s">
        <v>13194</v>
      </c>
      <c r="F3049">
        <v>4922</v>
      </c>
      <c r="G3049" t="s">
        <v>99</v>
      </c>
      <c r="H3049" t="s">
        <v>16</v>
      </c>
      <c r="I3049" t="s">
        <v>587</v>
      </c>
      <c r="J3049" t="s">
        <v>588</v>
      </c>
      <c r="K3049" t="s">
        <v>1809</v>
      </c>
      <c r="L3049" t="str">
        <f>HYPERLINK("https://business-monitor.ch/de/companies/1235021-hertig-bauingenieure-ag?utm_source=oberaargau","PROFIL ANSEHEN")</f>
        <v>PROFIL ANSEHEN</v>
      </c>
    </row>
    <row r="3050" spans="1:12" x14ac:dyDescent="0.2">
      <c r="A3050" t="s">
        <v>3653</v>
      </c>
      <c r="B3050" t="s">
        <v>3654</v>
      </c>
      <c r="C3050" t="s">
        <v>13</v>
      </c>
      <c r="E3050" t="s">
        <v>1833</v>
      </c>
      <c r="F3050">
        <v>4912</v>
      </c>
      <c r="G3050" t="s">
        <v>64</v>
      </c>
      <c r="H3050" t="s">
        <v>16</v>
      </c>
      <c r="I3050" t="s">
        <v>1245</v>
      </c>
      <c r="J3050" t="s">
        <v>1246</v>
      </c>
      <c r="K3050" t="s">
        <v>1809</v>
      </c>
      <c r="L3050" t="str">
        <f>HYPERLINK("https://business-monitor.ch/de/companies/60366-emt-metallbautechnik-ag?utm_source=oberaargau","PROFIL ANSEHEN")</f>
        <v>PROFIL ANSEHEN</v>
      </c>
    </row>
    <row r="3051" spans="1:12" x14ac:dyDescent="0.2">
      <c r="A3051" t="s">
        <v>7348</v>
      </c>
      <c r="B3051" t="s">
        <v>12109</v>
      </c>
      <c r="C3051" t="s">
        <v>13</v>
      </c>
      <c r="E3051" t="s">
        <v>2147</v>
      </c>
      <c r="F3051">
        <v>4952</v>
      </c>
      <c r="G3051" t="s">
        <v>474</v>
      </c>
      <c r="H3051" t="s">
        <v>16</v>
      </c>
      <c r="I3051" t="s">
        <v>1350</v>
      </c>
      <c r="J3051" t="s">
        <v>1351</v>
      </c>
      <c r="K3051" t="s">
        <v>1809</v>
      </c>
      <c r="L3051" t="str">
        <f>HYPERLINK("https://business-monitor.ch/de/companies/987760-ruch-tiefbau-ag?utm_source=oberaargau","PROFIL ANSEHEN")</f>
        <v>PROFIL ANSEHEN</v>
      </c>
    </row>
    <row r="3052" spans="1:12" x14ac:dyDescent="0.2">
      <c r="A3052" t="s">
        <v>7339</v>
      </c>
      <c r="B3052" t="s">
        <v>7340</v>
      </c>
      <c r="C3052" t="s">
        <v>202</v>
      </c>
      <c r="E3052" t="s">
        <v>7341</v>
      </c>
      <c r="F3052">
        <v>4943</v>
      </c>
      <c r="G3052" t="s">
        <v>1022</v>
      </c>
      <c r="H3052" t="s">
        <v>16</v>
      </c>
      <c r="I3052" t="s">
        <v>1039</v>
      </c>
      <c r="J3052" t="s">
        <v>1040</v>
      </c>
      <c r="K3052" t="s">
        <v>1809</v>
      </c>
      <c r="L3052" t="str">
        <f>HYPERLINK("https://business-monitor.ch/de/companies/989877-christen-brennerei-getraenkehandel-gmbh?utm_source=oberaargau","PROFIL ANSEHEN")</f>
        <v>PROFIL ANSEHEN</v>
      </c>
    </row>
    <row r="3053" spans="1:12" x14ac:dyDescent="0.2">
      <c r="A3053" t="s">
        <v>10514</v>
      </c>
      <c r="B3053" t="s">
        <v>10515</v>
      </c>
      <c r="C3053" t="s">
        <v>1812</v>
      </c>
      <c r="E3053" t="s">
        <v>10516</v>
      </c>
      <c r="F3053">
        <v>4704</v>
      </c>
      <c r="G3053" t="s">
        <v>221</v>
      </c>
      <c r="H3053" t="s">
        <v>16</v>
      </c>
      <c r="I3053" t="s">
        <v>1267</v>
      </c>
      <c r="J3053" t="s">
        <v>1268</v>
      </c>
      <c r="K3053" t="s">
        <v>1809</v>
      </c>
      <c r="L3053" t="str">
        <f>HYPERLINK("https://business-monitor.ch/de/companies/335667-ceraswiss-schmid?utm_source=oberaargau","PROFIL ANSEHEN")</f>
        <v>PROFIL ANSEHEN</v>
      </c>
    </row>
    <row r="3054" spans="1:12" x14ac:dyDescent="0.2">
      <c r="A3054" t="s">
        <v>5902</v>
      </c>
      <c r="B3054" t="s">
        <v>5903</v>
      </c>
      <c r="C3054" t="s">
        <v>13</v>
      </c>
      <c r="E3054" t="s">
        <v>5904</v>
      </c>
      <c r="F3054">
        <v>4913</v>
      </c>
      <c r="G3054" t="s">
        <v>207</v>
      </c>
      <c r="H3054" t="s">
        <v>16</v>
      </c>
      <c r="I3054" t="s">
        <v>48</v>
      </c>
      <c r="J3054" t="s">
        <v>49</v>
      </c>
      <c r="K3054" t="s">
        <v>1809</v>
      </c>
      <c r="L3054" t="str">
        <f>HYPERLINK("https://business-monitor.ch/de/companies/494694-kraft-bauer-schweiz-ag?utm_source=oberaargau","PROFIL ANSEHEN")</f>
        <v>PROFIL ANSEHEN</v>
      </c>
    </row>
    <row r="3055" spans="1:12" x14ac:dyDescent="0.2">
      <c r="A3055" t="s">
        <v>13416</v>
      </c>
      <c r="B3055" t="s">
        <v>13417</v>
      </c>
      <c r="C3055" t="s">
        <v>1812</v>
      </c>
      <c r="E3055" t="s">
        <v>4132</v>
      </c>
      <c r="F3055">
        <v>4917</v>
      </c>
      <c r="G3055" t="s">
        <v>376</v>
      </c>
      <c r="H3055" t="s">
        <v>16</v>
      </c>
      <c r="I3055" t="s">
        <v>2440</v>
      </c>
      <c r="J3055" t="s">
        <v>2441</v>
      </c>
      <c r="K3055" t="s">
        <v>1809</v>
      </c>
      <c r="L3055" t="str">
        <f>HYPERLINK("https://business-monitor.ch/de/companies/1029053-nikaj-swiss-unterlagsboden?utm_source=oberaargau","PROFIL ANSEHEN")</f>
        <v>PROFIL ANSEHEN</v>
      </c>
    </row>
    <row r="3056" spans="1:12" x14ac:dyDescent="0.2">
      <c r="A3056" t="s">
        <v>4800</v>
      </c>
      <c r="B3056" t="s">
        <v>4801</v>
      </c>
      <c r="C3056" t="s">
        <v>202</v>
      </c>
      <c r="E3056" t="s">
        <v>4802</v>
      </c>
      <c r="F3056">
        <v>4900</v>
      </c>
      <c r="G3056" t="s">
        <v>41</v>
      </c>
      <c r="H3056" t="s">
        <v>16</v>
      </c>
      <c r="I3056" t="s">
        <v>2192</v>
      </c>
      <c r="J3056" t="s">
        <v>2193</v>
      </c>
      <c r="K3056" t="s">
        <v>1809</v>
      </c>
      <c r="L3056" t="str">
        <f>HYPERLINK("https://business-monitor.ch/de/companies/558097-the-enabler-gmbh?utm_source=oberaargau","PROFIL ANSEHEN")</f>
        <v>PROFIL ANSEHEN</v>
      </c>
    </row>
    <row r="3057" spans="1:12" x14ac:dyDescent="0.2">
      <c r="A3057" t="s">
        <v>10960</v>
      </c>
      <c r="B3057" t="s">
        <v>10961</v>
      </c>
      <c r="C3057" t="s">
        <v>1812</v>
      </c>
      <c r="E3057" t="s">
        <v>10962</v>
      </c>
      <c r="F3057">
        <v>4912</v>
      </c>
      <c r="G3057" t="s">
        <v>64</v>
      </c>
      <c r="H3057" t="s">
        <v>16</v>
      </c>
      <c r="I3057" t="s">
        <v>1936</v>
      </c>
      <c r="J3057" t="s">
        <v>1937</v>
      </c>
      <c r="K3057" t="s">
        <v>1809</v>
      </c>
      <c r="L3057" t="str">
        <f>HYPERLINK("https://business-monitor.ch/de/companies/1102767-jennifer-ridyard-consulting?utm_source=oberaargau","PROFIL ANSEHEN")</f>
        <v>PROFIL ANSEHEN</v>
      </c>
    </row>
    <row r="3058" spans="1:12" x14ac:dyDescent="0.2">
      <c r="A3058" t="s">
        <v>10899</v>
      </c>
      <c r="B3058" t="s">
        <v>10900</v>
      </c>
      <c r="C3058" t="s">
        <v>13</v>
      </c>
      <c r="E3058" t="s">
        <v>3125</v>
      </c>
      <c r="F3058">
        <v>4900</v>
      </c>
      <c r="G3058" t="s">
        <v>41</v>
      </c>
      <c r="H3058" t="s">
        <v>16</v>
      </c>
      <c r="I3058" t="s">
        <v>935</v>
      </c>
      <c r="J3058" t="s">
        <v>936</v>
      </c>
      <c r="K3058" t="s">
        <v>1809</v>
      </c>
      <c r="L3058" t="str">
        <f>HYPERLINK("https://business-monitor.ch/de/companies/1102870-circumflex-ag?utm_source=oberaargau","PROFIL ANSEHEN")</f>
        <v>PROFIL ANSEHEN</v>
      </c>
    </row>
    <row r="3059" spans="1:12" x14ac:dyDescent="0.2">
      <c r="A3059" t="s">
        <v>4398</v>
      </c>
      <c r="B3059" t="s">
        <v>4399</v>
      </c>
      <c r="C3059" t="s">
        <v>13</v>
      </c>
      <c r="E3059" t="s">
        <v>12739</v>
      </c>
      <c r="F3059">
        <v>3360</v>
      </c>
      <c r="G3059" t="s">
        <v>35</v>
      </c>
      <c r="H3059" t="s">
        <v>16</v>
      </c>
      <c r="I3059" t="s">
        <v>182</v>
      </c>
      <c r="J3059" t="s">
        <v>183</v>
      </c>
      <c r="K3059" t="s">
        <v>1809</v>
      </c>
      <c r="L3059" t="str">
        <f>HYPERLINK("https://business-monitor.ch/de/companies/942775-durrer-holding-ag?utm_source=oberaargau","PROFIL ANSEHEN")</f>
        <v>PROFIL ANSEHEN</v>
      </c>
    </row>
    <row r="3060" spans="1:12" x14ac:dyDescent="0.2">
      <c r="A3060" t="s">
        <v>11784</v>
      </c>
      <c r="B3060" t="s">
        <v>11785</v>
      </c>
      <c r="C3060" t="s">
        <v>202</v>
      </c>
      <c r="E3060" t="s">
        <v>1796</v>
      </c>
      <c r="F3060">
        <v>4900</v>
      </c>
      <c r="G3060" t="s">
        <v>41</v>
      </c>
      <c r="H3060" t="s">
        <v>16</v>
      </c>
      <c r="I3060" t="s">
        <v>1557</v>
      </c>
      <c r="J3060" t="s">
        <v>1558</v>
      </c>
      <c r="K3060" t="s">
        <v>1809</v>
      </c>
      <c r="L3060" t="str">
        <f>HYPERLINK("https://business-monitor.ch/de/companies/988327-philipp-buser-kommunikation-gmbh?utm_source=oberaargau","PROFIL ANSEHEN")</f>
        <v>PROFIL ANSEHEN</v>
      </c>
    </row>
    <row r="3061" spans="1:12" x14ac:dyDescent="0.2">
      <c r="A3061" t="s">
        <v>4518</v>
      </c>
      <c r="B3061" t="s">
        <v>4519</v>
      </c>
      <c r="C3061" t="s">
        <v>202</v>
      </c>
      <c r="E3061" t="s">
        <v>4520</v>
      </c>
      <c r="F3061">
        <v>4912</v>
      </c>
      <c r="G3061" t="s">
        <v>64</v>
      </c>
      <c r="H3061" t="s">
        <v>16</v>
      </c>
      <c r="I3061" t="s">
        <v>475</v>
      </c>
      <c r="J3061" t="s">
        <v>476</v>
      </c>
      <c r="K3061" t="s">
        <v>1809</v>
      </c>
      <c r="L3061" t="str">
        <f>HYPERLINK("https://business-monitor.ch/de/companies/692520-supcad-gmbh?utm_source=oberaargau","PROFIL ANSEHEN")</f>
        <v>PROFIL ANSEHEN</v>
      </c>
    </row>
    <row r="3062" spans="1:12" x14ac:dyDescent="0.2">
      <c r="A3062" t="s">
        <v>4481</v>
      </c>
      <c r="B3062" t="s">
        <v>4482</v>
      </c>
      <c r="C3062" t="s">
        <v>202</v>
      </c>
      <c r="E3062" t="s">
        <v>3034</v>
      </c>
      <c r="F3062">
        <v>3360</v>
      </c>
      <c r="G3062" t="s">
        <v>35</v>
      </c>
      <c r="H3062" t="s">
        <v>16</v>
      </c>
      <c r="I3062" t="s">
        <v>824</v>
      </c>
      <c r="J3062" t="s">
        <v>825</v>
      </c>
      <c r="K3062" t="s">
        <v>1809</v>
      </c>
      <c r="L3062" t="str">
        <f>HYPERLINK("https://business-monitor.ch/de/companies/715740-seker-gastro-gmbh?utm_source=oberaargau","PROFIL ANSEHEN")</f>
        <v>PROFIL ANSEHEN</v>
      </c>
    </row>
    <row r="3063" spans="1:12" x14ac:dyDescent="0.2">
      <c r="A3063" t="s">
        <v>4378</v>
      </c>
      <c r="B3063" t="s">
        <v>4379</v>
      </c>
      <c r="C3063" t="s">
        <v>202</v>
      </c>
      <c r="E3063" t="s">
        <v>3462</v>
      </c>
      <c r="F3063">
        <v>4900</v>
      </c>
      <c r="G3063" t="s">
        <v>41</v>
      </c>
      <c r="H3063" t="s">
        <v>16</v>
      </c>
      <c r="I3063" t="s">
        <v>824</v>
      </c>
      <c r="J3063" t="s">
        <v>825</v>
      </c>
      <c r="K3063" t="s">
        <v>1809</v>
      </c>
      <c r="L3063" t="str">
        <f>HYPERLINK("https://business-monitor.ch/de/companies/951053-ilayda-zilan-gmbh?utm_source=oberaargau","PROFIL ANSEHEN")</f>
        <v>PROFIL ANSEHEN</v>
      </c>
    </row>
    <row r="3064" spans="1:12" x14ac:dyDescent="0.2">
      <c r="A3064" t="s">
        <v>10290</v>
      </c>
      <c r="B3064" t="s">
        <v>10291</v>
      </c>
      <c r="C3064" t="s">
        <v>202</v>
      </c>
      <c r="E3064" t="s">
        <v>2884</v>
      </c>
      <c r="F3064">
        <v>3360</v>
      </c>
      <c r="G3064" t="s">
        <v>35</v>
      </c>
      <c r="H3064" t="s">
        <v>16</v>
      </c>
      <c r="I3064" t="s">
        <v>134</v>
      </c>
      <c r="J3064" t="s">
        <v>135</v>
      </c>
      <c r="K3064" t="s">
        <v>1809</v>
      </c>
      <c r="L3064" t="str">
        <f>HYPERLINK("https://business-monitor.ch/de/companies/571052-4d-montagen-gmbh?utm_source=oberaargau","PROFIL ANSEHEN")</f>
        <v>PROFIL ANSEHEN</v>
      </c>
    </row>
    <row r="3065" spans="1:12" x14ac:dyDescent="0.2">
      <c r="A3065" t="s">
        <v>7638</v>
      </c>
      <c r="B3065" t="s">
        <v>7639</v>
      </c>
      <c r="C3065" t="s">
        <v>13</v>
      </c>
      <c r="E3065" t="s">
        <v>1200</v>
      </c>
      <c r="F3065">
        <v>4900</v>
      </c>
      <c r="G3065" t="s">
        <v>41</v>
      </c>
      <c r="H3065" t="s">
        <v>16</v>
      </c>
      <c r="I3065" t="s">
        <v>966</v>
      </c>
      <c r="J3065" t="s">
        <v>967</v>
      </c>
      <c r="K3065" t="s">
        <v>1809</v>
      </c>
      <c r="L3065" t="str">
        <f>HYPERLINK("https://business-monitor.ch/de/companies/648420-vitasphere-immobilien-ag?utm_source=oberaargau","PROFIL ANSEHEN")</f>
        <v>PROFIL ANSEHEN</v>
      </c>
    </row>
    <row r="3066" spans="1:12" x14ac:dyDescent="0.2">
      <c r="A3066" t="s">
        <v>5382</v>
      </c>
      <c r="B3066" t="s">
        <v>5383</v>
      </c>
      <c r="C3066" t="s">
        <v>1812</v>
      </c>
      <c r="E3066" t="s">
        <v>5384</v>
      </c>
      <c r="F3066">
        <v>3367</v>
      </c>
      <c r="G3066" t="s">
        <v>1336</v>
      </c>
      <c r="H3066" t="s">
        <v>16</v>
      </c>
      <c r="I3066" t="s">
        <v>824</v>
      </c>
      <c r="J3066" t="s">
        <v>825</v>
      </c>
      <c r="K3066" t="s">
        <v>1809</v>
      </c>
      <c r="L3066" t="str">
        <f>HYPERLINK("https://business-monitor.ch/de/companies/353191-restaurant-baeren-martin-rytz?utm_source=oberaargau","PROFIL ANSEHEN")</f>
        <v>PROFIL ANSEHEN</v>
      </c>
    </row>
    <row r="3067" spans="1:12" x14ac:dyDescent="0.2">
      <c r="A3067" t="s">
        <v>10821</v>
      </c>
      <c r="B3067" t="s">
        <v>10822</v>
      </c>
      <c r="C3067" t="s">
        <v>13</v>
      </c>
      <c r="E3067" t="s">
        <v>518</v>
      </c>
      <c r="F3067">
        <v>3360</v>
      </c>
      <c r="G3067" t="s">
        <v>35</v>
      </c>
      <c r="H3067" t="s">
        <v>16</v>
      </c>
      <c r="I3067" t="s">
        <v>182</v>
      </c>
      <c r="J3067" t="s">
        <v>183</v>
      </c>
      <c r="K3067" t="s">
        <v>1809</v>
      </c>
      <c r="L3067" t="str">
        <f>HYPERLINK("https://business-monitor.ch/de/companies/1105631-eiche-holding-ag?utm_source=oberaargau","PROFIL ANSEHEN")</f>
        <v>PROFIL ANSEHEN</v>
      </c>
    </row>
    <row r="3068" spans="1:12" x14ac:dyDescent="0.2">
      <c r="A3068" t="s">
        <v>5013</v>
      </c>
      <c r="B3068" t="s">
        <v>5014</v>
      </c>
      <c r="C3068" t="s">
        <v>13</v>
      </c>
      <c r="D3068" t="s">
        <v>5015</v>
      </c>
      <c r="E3068" t="s">
        <v>458</v>
      </c>
      <c r="F3068">
        <v>4914</v>
      </c>
      <c r="G3068" t="s">
        <v>105</v>
      </c>
      <c r="H3068" t="s">
        <v>16</v>
      </c>
      <c r="I3068" t="s">
        <v>182</v>
      </c>
      <c r="J3068" t="s">
        <v>183</v>
      </c>
      <c r="K3068" t="s">
        <v>1809</v>
      </c>
      <c r="L3068" t="str">
        <f>HYPERLINK("https://business-monitor.ch/de/companies/1091036-beck-holding-ag?utm_source=oberaargau","PROFIL ANSEHEN")</f>
        <v>PROFIL ANSEHEN</v>
      </c>
    </row>
    <row r="3069" spans="1:12" x14ac:dyDescent="0.2">
      <c r="A3069" t="s">
        <v>6967</v>
      </c>
      <c r="B3069" t="s">
        <v>6968</v>
      </c>
      <c r="C3069" t="s">
        <v>1922</v>
      </c>
      <c r="D3069" t="s">
        <v>6969</v>
      </c>
      <c r="E3069" t="s">
        <v>3132</v>
      </c>
      <c r="F3069">
        <v>4901</v>
      </c>
      <c r="G3069" t="s">
        <v>41</v>
      </c>
      <c r="H3069" t="s">
        <v>16</v>
      </c>
      <c r="I3069" t="s">
        <v>2116</v>
      </c>
      <c r="J3069" t="s">
        <v>2117</v>
      </c>
      <c r="K3069" t="s">
        <v>1809</v>
      </c>
      <c r="L3069" t="str">
        <f>HYPERLINK("https://business-monitor.ch/de/companies/466227-pensionskasse-der-stadt-langenthal?utm_source=oberaargau","PROFIL ANSEHEN")</f>
        <v>PROFIL ANSEHEN</v>
      </c>
    </row>
    <row r="3070" spans="1:12" x14ac:dyDescent="0.2">
      <c r="A3070" t="s">
        <v>3753</v>
      </c>
      <c r="B3070" t="s">
        <v>3754</v>
      </c>
      <c r="C3070" t="s">
        <v>13</v>
      </c>
      <c r="E3070" t="s">
        <v>3755</v>
      </c>
      <c r="F3070">
        <v>4950</v>
      </c>
      <c r="G3070" t="s">
        <v>15</v>
      </c>
      <c r="H3070" t="s">
        <v>16</v>
      </c>
      <c r="I3070" t="s">
        <v>3344</v>
      </c>
      <c r="J3070" t="s">
        <v>3345</v>
      </c>
      <c r="K3070" t="s">
        <v>1809</v>
      </c>
      <c r="L3070" t="str">
        <f>HYPERLINK("https://business-monitor.ch/de/companies/2400-spitex-oberes-langetental-ag?utm_source=oberaargau","PROFIL ANSEHEN")</f>
        <v>PROFIL ANSEHEN</v>
      </c>
    </row>
    <row r="3071" spans="1:12" x14ac:dyDescent="0.2">
      <c r="A3071" t="s">
        <v>11381</v>
      </c>
      <c r="B3071" t="s">
        <v>11382</v>
      </c>
      <c r="C3071" t="s">
        <v>13</v>
      </c>
      <c r="E3071" t="s">
        <v>7308</v>
      </c>
      <c r="F3071">
        <v>4932</v>
      </c>
      <c r="G3071" t="s">
        <v>325</v>
      </c>
      <c r="H3071" t="s">
        <v>16</v>
      </c>
      <c r="I3071" t="s">
        <v>1401</v>
      </c>
      <c r="J3071" t="s">
        <v>1402</v>
      </c>
      <c r="K3071" t="s">
        <v>1809</v>
      </c>
      <c r="L3071" t="str">
        <f>HYPERLINK("https://business-monitor.ch/de/companies/1135385-gerber-gaerten-ag?utm_source=oberaargau","PROFIL ANSEHEN")</f>
        <v>PROFIL ANSEHEN</v>
      </c>
    </row>
    <row r="3072" spans="1:12" x14ac:dyDescent="0.2">
      <c r="A3072" t="s">
        <v>11746</v>
      </c>
      <c r="B3072" t="s">
        <v>11747</v>
      </c>
      <c r="C3072" t="s">
        <v>202</v>
      </c>
      <c r="E3072" t="s">
        <v>11748</v>
      </c>
      <c r="F3072">
        <v>4539</v>
      </c>
      <c r="G3072" t="s">
        <v>23</v>
      </c>
      <c r="H3072" t="s">
        <v>16</v>
      </c>
      <c r="I3072" t="s">
        <v>551</v>
      </c>
      <c r="J3072" t="s">
        <v>552</v>
      </c>
      <c r="K3072" t="s">
        <v>1809</v>
      </c>
      <c r="L3072" t="str">
        <f>HYPERLINK("https://business-monitor.ch/de/companies/1154814-bergstein-beratung-gmbh?utm_source=oberaargau","PROFIL ANSEHEN")</f>
        <v>PROFIL ANSEHEN</v>
      </c>
    </row>
    <row r="3073" spans="1:12" x14ac:dyDescent="0.2">
      <c r="A3073" t="s">
        <v>10857</v>
      </c>
      <c r="B3073" t="s">
        <v>10858</v>
      </c>
      <c r="C3073" t="s">
        <v>13</v>
      </c>
      <c r="D3073" t="s">
        <v>10859</v>
      </c>
      <c r="E3073" t="s">
        <v>10764</v>
      </c>
      <c r="F3073">
        <v>4950</v>
      </c>
      <c r="G3073" t="s">
        <v>15</v>
      </c>
      <c r="H3073" t="s">
        <v>16</v>
      </c>
      <c r="I3073" t="s">
        <v>182</v>
      </c>
      <c r="J3073" t="s">
        <v>183</v>
      </c>
      <c r="K3073" t="s">
        <v>1809</v>
      </c>
      <c r="L3073" t="str">
        <f>HYPERLINK("https://business-monitor.ch/de/companies/1106548-larep-holding-ag?utm_source=oberaargau","PROFIL ANSEHEN")</f>
        <v>PROFIL ANSEHEN</v>
      </c>
    </row>
    <row r="3074" spans="1:12" x14ac:dyDescent="0.2">
      <c r="A3074" t="s">
        <v>9530</v>
      </c>
      <c r="B3074" t="s">
        <v>9531</v>
      </c>
      <c r="C3074" t="s">
        <v>13</v>
      </c>
      <c r="E3074" t="s">
        <v>573</v>
      </c>
      <c r="F3074">
        <v>4912</v>
      </c>
      <c r="G3074" t="s">
        <v>64</v>
      </c>
      <c r="H3074" t="s">
        <v>16</v>
      </c>
      <c r="I3074" t="s">
        <v>2077</v>
      </c>
      <c r="J3074" t="s">
        <v>2078</v>
      </c>
      <c r="K3074" t="s">
        <v>1809</v>
      </c>
      <c r="L3074" t="str">
        <f>HYPERLINK("https://business-monitor.ch/de/companies/611255-fotoblitz-ch-ag?utm_source=oberaargau","PROFIL ANSEHEN")</f>
        <v>PROFIL ANSEHEN</v>
      </c>
    </row>
    <row r="3075" spans="1:12" x14ac:dyDescent="0.2">
      <c r="A3075" t="s">
        <v>10366</v>
      </c>
      <c r="B3075" t="s">
        <v>10367</v>
      </c>
      <c r="C3075" t="s">
        <v>1812</v>
      </c>
      <c r="E3075" t="s">
        <v>959</v>
      </c>
      <c r="F3075">
        <v>3360</v>
      </c>
      <c r="G3075" t="s">
        <v>35</v>
      </c>
      <c r="H3075" t="s">
        <v>16</v>
      </c>
      <c r="I3075" t="s">
        <v>1401</v>
      </c>
      <c r="J3075" t="s">
        <v>1402</v>
      </c>
      <c r="K3075" t="s">
        <v>1809</v>
      </c>
      <c r="L3075" t="str">
        <f>HYPERLINK("https://business-monitor.ch/de/companies/529264-blumen-la-violetta-bettina-reinmann?utm_source=oberaargau","PROFIL ANSEHEN")</f>
        <v>PROFIL ANSEHEN</v>
      </c>
    </row>
    <row r="3076" spans="1:12" x14ac:dyDescent="0.2">
      <c r="A3076" t="s">
        <v>10182</v>
      </c>
      <c r="B3076" t="s">
        <v>10183</v>
      </c>
      <c r="C3076" t="s">
        <v>202</v>
      </c>
      <c r="E3076" t="s">
        <v>10184</v>
      </c>
      <c r="F3076">
        <v>3367</v>
      </c>
      <c r="G3076" t="s">
        <v>455</v>
      </c>
      <c r="H3076" t="s">
        <v>16</v>
      </c>
      <c r="I3076" t="s">
        <v>1097</v>
      </c>
      <c r="J3076" t="s">
        <v>1098</v>
      </c>
      <c r="K3076" t="s">
        <v>1809</v>
      </c>
      <c r="L3076" t="str">
        <f>HYPERLINK("https://business-monitor.ch/de/companies/635600-kaufwolle-ch-gmbh?utm_source=oberaargau","PROFIL ANSEHEN")</f>
        <v>PROFIL ANSEHEN</v>
      </c>
    </row>
    <row r="3077" spans="1:12" x14ac:dyDescent="0.2">
      <c r="A3077" t="s">
        <v>11832</v>
      </c>
      <c r="B3077" t="s">
        <v>11833</v>
      </c>
      <c r="C3077" t="s">
        <v>202</v>
      </c>
      <c r="E3077" t="s">
        <v>14176</v>
      </c>
      <c r="F3077">
        <v>4912</v>
      </c>
      <c r="G3077" t="s">
        <v>64</v>
      </c>
      <c r="H3077" t="s">
        <v>16</v>
      </c>
      <c r="I3077" t="s">
        <v>167</v>
      </c>
      <c r="J3077" t="s">
        <v>168</v>
      </c>
      <c r="K3077" t="s">
        <v>1809</v>
      </c>
      <c r="L3077" t="str">
        <f>HYPERLINK("https://business-monitor.ch/de/companies/1174896-semas-group-gmbh?utm_source=oberaargau","PROFIL ANSEHEN")</f>
        <v>PROFIL ANSEHEN</v>
      </c>
    </row>
    <row r="3078" spans="1:12" x14ac:dyDescent="0.2">
      <c r="A3078" t="s">
        <v>6577</v>
      </c>
      <c r="B3078" t="s">
        <v>6578</v>
      </c>
      <c r="C3078" t="s">
        <v>202</v>
      </c>
      <c r="E3078" t="s">
        <v>5612</v>
      </c>
      <c r="F3078">
        <v>4900</v>
      </c>
      <c r="G3078" t="s">
        <v>41</v>
      </c>
      <c r="H3078" t="s">
        <v>16</v>
      </c>
      <c r="I3078" t="s">
        <v>2226</v>
      </c>
      <c r="J3078" t="s">
        <v>2227</v>
      </c>
      <c r="K3078" t="s">
        <v>1809</v>
      </c>
      <c r="L3078" t="str">
        <f>HYPERLINK("https://business-monitor.ch/de/companies/1059965-physiotherapie-spotti-gmbh?utm_source=oberaargau","PROFIL ANSEHEN")</f>
        <v>PROFIL ANSEHEN</v>
      </c>
    </row>
    <row r="3079" spans="1:12" x14ac:dyDescent="0.2">
      <c r="A3079" t="s">
        <v>10906</v>
      </c>
      <c r="B3079" t="s">
        <v>10907</v>
      </c>
      <c r="C3079" t="s">
        <v>202</v>
      </c>
      <c r="E3079" t="s">
        <v>10908</v>
      </c>
      <c r="F3079">
        <v>4937</v>
      </c>
      <c r="G3079" t="s">
        <v>951</v>
      </c>
      <c r="H3079" t="s">
        <v>16</v>
      </c>
      <c r="I3079" t="s">
        <v>175</v>
      </c>
      <c r="J3079" t="s">
        <v>176</v>
      </c>
      <c r="K3079" t="s">
        <v>1809</v>
      </c>
      <c r="L3079" t="str">
        <f>HYPERLINK("https://business-monitor.ch/de/companies/1107078-motorholics-gmbh?utm_source=oberaargau","PROFIL ANSEHEN")</f>
        <v>PROFIL ANSEHEN</v>
      </c>
    </row>
    <row r="3080" spans="1:12" x14ac:dyDescent="0.2">
      <c r="A3080" t="s">
        <v>9852</v>
      </c>
      <c r="B3080" t="s">
        <v>9853</v>
      </c>
      <c r="C3080" t="s">
        <v>13</v>
      </c>
      <c r="E3080" t="s">
        <v>2073</v>
      </c>
      <c r="F3080">
        <v>3360</v>
      </c>
      <c r="G3080" t="s">
        <v>35</v>
      </c>
      <c r="H3080" t="s">
        <v>16</v>
      </c>
      <c r="I3080" t="s">
        <v>2197</v>
      </c>
      <c r="J3080" t="s">
        <v>2198</v>
      </c>
      <c r="K3080" t="s">
        <v>1809</v>
      </c>
      <c r="L3080" t="str">
        <f>HYPERLINK("https://business-monitor.ch/de/companies/989711-zahnarztpraxis-dr-faessler-ag?utm_source=oberaargau","PROFIL ANSEHEN")</f>
        <v>PROFIL ANSEHEN</v>
      </c>
    </row>
    <row r="3081" spans="1:12" x14ac:dyDescent="0.2">
      <c r="A3081" t="s">
        <v>10977</v>
      </c>
      <c r="B3081" t="s">
        <v>10978</v>
      </c>
      <c r="C3081" t="s">
        <v>13</v>
      </c>
      <c r="E3081" t="s">
        <v>10979</v>
      </c>
      <c r="F3081">
        <v>4900</v>
      </c>
      <c r="G3081" t="s">
        <v>41</v>
      </c>
      <c r="H3081" t="s">
        <v>16</v>
      </c>
      <c r="I3081" t="s">
        <v>671</v>
      </c>
      <c r="J3081" t="s">
        <v>672</v>
      </c>
      <c r="K3081" t="s">
        <v>1809</v>
      </c>
      <c r="L3081" t="str">
        <f>HYPERLINK("https://business-monitor.ch/de/companies/1107246-arztpraxis-lichthof-ag?utm_source=oberaargau","PROFIL ANSEHEN")</f>
        <v>PROFIL ANSEHEN</v>
      </c>
    </row>
    <row r="3082" spans="1:12" x14ac:dyDescent="0.2">
      <c r="A3082" t="s">
        <v>7337</v>
      </c>
      <c r="B3082" t="s">
        <v>7338</v>
      </c>
      <c r="C3082" t="s">
        <v>13</v>
      </c>
      <c r="E3082" t="s">
        <v>959</v>
      </c>
      <c r="F3082">
        <v>4950</v>
      </c>
      <c r="G3082" t="s">
        <v>15</v>
      </c>
      <c r="H3082" t="s">
        <v>16</v>
      </c>
      <c r="I3082" t="s">
        <v>2197</v>
      </c>
      <c r="J3082" t="s">
        <v>2198</v>
      </c>
      <c r="K3082" t="s">
        <v>1809</v>
      </c>
      <c r="L3082" t="str">
        <f>HYPERLINK("https://business-monitor.ch/de/companies/989888-zahnarztpraxis-bulic-huttwil-ag?utm_source=oberaargau","PROFIL ANSEHEN")</f>
        <v>PROFIL ANSEHEN</v>
      </c>
    </row>
    <row r="3083" spans="1:12" x14ac:dyDescent="0.2">
      <c r="A3083" t="s">
        <v>8771</v>
      </c>
      <c r="B3083" t="s">
        <v>8772</v>
      </c>
      <c r="C3083" t="s">
        <v>1812</v>
      </c>
      <c r="E3083" t="s">
        <v>8773</v>
      </c>
      <c r="F3083">
        <v>3374</v>
      </c>
      <c r="G3083" t="s">
        <v>894</v>
      </c>
      <c r="H3083" t="s">
        <v>16</v>
      </c>
      <c r="I3083" t="s">
        <v>1097</v>
      </c>
      <c r="J3083" t="s">
        <v>1098</v>
      </c>
      <c r="K3083" t="s">
        <v>1809</v>
      </c>
      <c r="L3083" t="str">
        <f>HYPERLINK("https://business-monitor.ch/de/companies/363020-rippl-spiele?utm_source=oberaargau","PROFIL ANSEHEN")</f>
        <v>PROFIL ANSEHEN</v>
      </c>
    </row>
    <row r="3084" spans="1:12" x14ac:dyDescent="0.2">
      <c r="A3084" t="s">
        <v>6150</v>
      </c>
      <c r="B3084" t="s">
        <v>8527</v>
      </c>
      <c r="C3084" t="s">
        <v>202</v>
      </c>
      <c r="E3084" t="s">
        <v>8528</v>
      </c>
      <c r="F3084">
        <v>4537</v>
      </c>
      <c r="G3084" t="s">
        <v>113</v>
      </c>
      <c r="H3084" t="s">
        <v>16</v>
      </c>
      <c r="I3084" t="s">
        <v>642</v>
      </c>
      <c r="J3084" t="s">
        <v>643</v>
      </c>
      <c r="K3084" t="s">
        <v>1809</v>
      </c>
      <c r="L3084" t="str">
        <f>HYPERLINK("https://business-monitor.ch/de/companies/394530-garage-kopp-gmbh?utm_source=oberaargau","PROFIL ANSEHEN")</f>
        <v>PROFIL ANSEHEN</v>
      </c>
    </row>
    <row r="3085" spans="1:12" x14ac:dyDescent="0.2">
      <c r="A3085" t="s">
        <v>8954</v>
      </c>
      <c r="B3085" t="s">
        <v>8955</v>
      </c>
      <c r="C3085" t="s">
        <v>202</v>
      </c>
      <c r="E3085" t="s">
        <v>3151</v>
      </c>
      <c r="F3085">
        <v>4922</v>
      </c>
      <c r="G3085" t="s">
        <v>99</v>
      </c>
      <c r="H3085" t="s">
        <v>16</v>
      </c>
      <c r="I3085" t="s">
        <v>603</v>
      </c>
      <c r="J3085" t="s">
        <v>604</v>
      </c>
      <c r="K3085" t="s">
        <v>1809</v>
      </c>
      <c r="L3085" t="str">
        <f>HYPERLINK("https://business-monitor.ch/de/companies/259655-www-crespo-ch-gmbh?utm_source=oberaargau","PROFIL ANSEHEN")</f>
        <v>PROFIL ANSEHEN</v>
      </c>
    </row>
    <row r="3086" spans="1:12" x14ac:dyDescent="0.2">
      <c r="A3086" t="s">
        <v>12083</v>
      </c>
      <c r="B3086" t="s">
        <v>12084</v>
      </c>
      <c r="C3086" t="s">
        <v>13</v>
      </c>
      <c r="D3086" t="s">
        <v>4325</v>
      </c>
      <c r="E3086" t="s">
        <v>381</v>
      </c>
      <c r="F3086">
        <v>4900</v>
      </c>
      <c r="G3086" t="s">
        <v>41</v>
      </c>
      <c r="H3086" t="s">
        <v>16</v>
      </c>
      <c r="I3086" t="s">
        <v>186</v>
      </c>
      <c r="J3086" t="s">
        <v>187</v>
      </c>
      <c r="K3086" t="s">
        <v>1809</v>
      </c>
      <c r="L3086" t="str">
        <f>HYPERLINK("https://business-monitor.ch/de/companies/1176656-majo-beteiligungen-ag?utm_source=oberaargau","PROFIL ANSEHEN")</f>
        <v>PROFIL ANSEHEN</v>
      </c>
    </row>
    <row r="3087" spans="1:12" x14ac:dyDescent="0.2">
      <c r="A3087" t="s">
        <v>10816</v>
      </c>
      <c r="B3087" t="s">
        <v>10817</v>
      </c>
      <c r="C3087" t="s">
        <v>202</v>
      </c>
      <c r="E3087" t="s">
        <v>8110</v>
      </c>
      <c r="F3087">
        <v>4900</v>
      </c>
      <c r="G3087" t="s">
        <v>41</v>
      </c>
      <c r="H3087" t="s">
        <v>16</v>
      </c>
      <c r="I3087" t="s">
        <v>1818</v>
      </c>
      <c r="J3087" t="s">
        <v>1819</v>
      </c>
      <c r="K3087" t="s">
        <v>1809</v>
      </c>
      <c r="L3087" t="str">
        <f>HYPERLINK("https://business-monitor.ch/de/companies/1108866-vinnia-gmbh?utm_source=oberaargau","PROFIL ANSEHEN")</f>
        <v>PROFIL ANSEHEN</v>
      </c>
    </row>
    <row r="3088" spans="1:12" x14ac:dyDescent="0.2">
      <c r="A3088" t="s">
        <v>13497</v>
      </c>
      <c r="B3088" t="s">
        <v>13498</v>
      </c>
      <c r="C3088" t="s">
        <v>202</v>
      </c>
      <c r="E3088" t="s">
        <v>13499</v>
      </c>
      <c r="F3088">
        <v>4934</v>
      </c>
      <c r="G3088" t="s">
        <v>670</v>
      </c>
      <c r="H3088" t="s">
        <v>16</v>
      </c>
      <c r="I3088" t="s">
        <v>167</v>
      </c>
      <c r="J3088" t="s">
        <v>168</v>
      </c>
      <c r="K3088" t="s">
        <v>1809</v>
      </c>
      <c r="L3088" t="str">
        <f>HYPERLINK("https://business-monitor.ch/de/companies/1252120-ryser-bauservice-gmbh?utm_source=oberaargau","PROFIL ANSEHEN")</f>
        <v>PROFIL ANSEHEN</v>
      </c>
    </row>
    <row r="3089" spans="1:12" x14ac:dyDescent="0.2">
      <c r="A3089" t="s">
        <v>7970</v>
      </c>
      <c r="B3089" t="s">
        <v>7971</v>
      </c>
      <c r="C3089" t="s">
        <v>1812</v>
      </c>
      <c r="E3089" t="s">
        <v>7972</v>
      </c>
      <c r="F3089">
        <v>3365</v>
      </c>
      <c r="G3089" t="s">
        <v>2390</v>
      </c>
      <c r="H3089" t="s">
        <v>16</v>
      </c>
      <c r="I3089" t="s">
        <v>551</v>
      </c>
      <c r="J3089" t="s">
        <v>552</v>
      </c>
      <c r="K3089" t="s">
        <v>1809</v>
      </c>
      <c r="L3089" t="str">
        <f>HYPERLINK("https://business-monitor.ch/de/companies/112086-task-line-tschannen?utm_source=oberaargau","PROFIL ANSEHEN")</f>
        <v>PROFIL ANSEHEN</v>
      </c>
    </row>
    <row r="3090" spans="1:12" x14ac:dyDescent="0.2">
      <c r="A3090" t="s">
        <v>7186</v>
      </c>
      <c r="B3090" t="s">
        <v>7187</v>
      </c>
      <c r="C3090" t="s">
        <v>202</v>
      </c>
      <c r="E3090" t="s">
        <v>7188</v>
      </c>
      <c r="F3090">
        <v>4912</v>
      </c>
      <c r="G3090" t="s">
        <v>64</v>
      </c>
      <c r="H3090" t="s">
        <v>16</v>
      </c>
      <c r="I3090" t="s">
        <v>475</v>
      </c>
      <c r="J3090" t="s">
        <v>476</v>
      </c>
      <c r="K3090" t="s">
        <v>1809</v>
      </c>
      <c r="L3090" t="str">
        <f>HYPERLINK("https://business-monitor.ch/de/companies/719571-t-b-treuhand-bauleistungen-gmbh?utm_source=oberaargau","PROFIL ANSEHEN")</f>
        <v>PROFIL ANSEHEN</v>
      </c>
    </row>
    <row r="3091" spans="1:12" x14ac:dyDescent="0.2">
      <c r="A3091" t="s">
        <v>3436</v>
      </c>
      <c r="B3091" t="s">
        <v>3437</v>
      </c>
      <c r="C3091" t="s">
        <v>13</v>
      </c>
      <c r="E3091" t="s">
        <v>3438</v>
      </c>
      <c r="F3091">
        <v>4536</v>
      </c>
      <c r="G3091" t="s">
        <v>1395</v>
      </c>
      <c r="H3091" t="s">
        <v>16</v>
      </c>
      <c r="I3091" t="s">
        <v>624</v>
      </c>
      <c r="J3091" t="s">
        <v>625</v>
      </c>
      <c r="K3091" t="s">
        <v>1809</v>
      </c>
      <c r="L3091" t="str">
        <f>HYPERLINK("https://business-monitor.ch/de/companies/176685-max-zumstein-ag?utm_source=oberaargau","PROFIL ANSEHEN")</f>
        <v>PROFIL ANSEHEN</v>
      </c>
    </row>
    <row r="3092" spans="1:12" x14ac:dyDescent="0.2">
      <c r="A3092" t="s">
        <v>4435</v>
      </c>
      <c r="B3092" t="s">
        <v>4436</v>
      </c>
      <c r="C3092" t="s">
        <v>202</v>
      </c>
      <c r="E3092" t="s">
        <v>4437</v>
      </c>
      <c r="F3092">
        <v>3368</v>
      </c>
      <c r="G3092" t="s">
        <v>308</v>
      </c>
      <c r="H3092" t="s">
        <v>16</v>
      </c>
      <c r="I3092" t="s">
        <v>260</v>
      </c>
      <c r="J3092" t="s">
        <v>261</v>
      </c>
      <c r="K3092" t="s">
        <v>1809</v>
      </c>
      <c r="L3092" t="str">
        <f>HYPERLINK("https://business-monitor.ch/de/companies/928694-lorenz-jaisli-architekturbuero-gmbh?utm_source=oberaargau","PROFIL ANSEHEN")</f>
        <v>PROFIL ANSEHEN</v>
      </c>
    </row>
    <row r="3093" spans="1:12" x14ac:dyDescent="0.2">
      <c r="A3093" t="s">
        <v>8833</v>
      </c>
      <c r="B3093" t="s">
        <v>8834</v>
      </c>
      <c r="C3093" t="s">
        <v>202</v>
      </c>
      <c r="E3093" t="s">
        <v>8835</v>
      </c>
      <c r="F3093">
        <v>3365</v>
      </c>
      <c r="G3093" t="s">
        <v>1008</v>
      </c>
      <c r="H3093" t="s">
        <v>16</v>
      </c>
      <c r="I3093" t="s">
        <v>662</v>
      </c>
      <c r="J3093" t="s">
        <v>663</v>
      </c>
      <c r="K3093" t="s">
        <v>1809</v>
      </c>
      <c r="L3093" t="str">
        <f>HYPERLINK("https://business-monitor.ch/de/companies/334776-joerg-gmbh-bedachungen-fassaden?utm_source=oberaargau","PROFIL ANSEHEN")</f>
        <v>PROFIL ANSEHEN</v>
      </c>
    </row>
    <row r="3094" spans="1:12" x14ac:dyDescent="0.2">
      <c r="A3094" t="s">
        <v>13177</v>
      </c>
      <c r="B3094" t="s">
        <v>13178</v>
      </c>
      <c r="C3094" t="s">
        <v>1812</v>
      </c>
      <c r="E3094" t="s">
        <v>4125</v>
      </c>
      <c r="F3094">
        <v>3380</v>
      </c>
      <c r="G3094" t="s">
        <v>29</v>
      </c>
      <c r="H3094" t="s">
        <v>16</v>
      </c>
      <c r="I3094" t="s">
        <v>4205</v>
      </c>
      <c r="J3094" t="s">
        <v>4206</v>
      </c>
      <c r="K3094" t="s">
        <v>1809</v>
      </c>
      <c r="L3094" t="str">
        <f>HYPERLINK("https://business-monitor.ch/de/companies/1232788-aare-kiosk-goekguel?utm_source=oberaargau","PROFIL ANSEHEN")</f>
        <v>PROFIL ANSEHEN</v>
      </c>
    </row>
    <row r="3095" spans="1:12" x14ac:dyDescent="0.2">
      <c r="A3095" t="s">
        <v>2909</v>
      </c>
      <c r="B3095" t="s">
        <v>2910</v>
      </c>
      <c r="C3095" t="s">
        <v>1922</v>
      </c>
      <c r="D3095" t="s">
        <v>2911</v>
      </c>
      <c r="E3095" t="s">
        <v>617</v>
      </c>
      <c r="F3095">
        <v>4938</v>
      </c>
      <c r="G3095" t="s">
        <v>618</v>
      </c>
      <c r="H3095" t="s">
        <v>16</v>
      </c>
      <c r="I3095" t="s">
        <v>2912</v>
      </c>
      <c r="J3095" t="s">
        <v>2913</v>
      </c>
      <c r="K3095" t="s">
        <v>1809</v>
      </c>
      <c r="L3095" t="str">
        <f>HYPERLINK("https://business-monitor.ch/de/companies/393984-lanz-anliker-stiftung?utm_source=oberaargau","PROFIL ANSEHEN")</f>
        <v>PROFIL ANSEHEN</v>
      </c>
    </row>
    <row r="3096" spans="1:12" x14ac:dyDescent="0.2">
      <c r="A3096" t="s">
        <v>6389</v>
      </c>
      <c r="B3096" t="s">
        <v>6390</v>
      </c>
      <c r="C3096" t="s">
        <v>202</v>
      </c>
      <c r="E3096" t="s">
        <v>6391</v>
      </c>
      <c r="F3096">
        <v>4538</v>
      </c>
      <c r="G3096" t="s">
        <v>71</v>
      </c>
      <c r="H3096" t="s">
        <v>16</v>
      </c>
      <c r="I3096" t="s">
        <v>748</v>
      </c>
      <c r="J3096" t="s">
        <v>749</v>
      </c>
      <c r="K3096" t="s">
        <v>1809</v>
      </c>
      <c r="L3096" t="str">
        <f>HYPERLINK("https://business-monitor.ch/de/companies/294548-arbeiten-rund-ums-haus-gmbh?utm_source=oberaargau","PROFIL ANSEHEN")</f>
        <v>PROFIL ANSEHEN</v>
      </c>
    </row>
    <row r="3097" spans="1:12" x14ac:dyDescent="0.2">
      <c r="A3097" t="s">
        <v>6992</v>
      </c>
      <c r="B3097" t="s">
        <v>6993</v>
      </c>
      <c r="C3097" t="s">
        <v>1812</v>
      </c>
      <c r="E3097" t="s">
        <v>6994</v>
      </c>
      <c r="F3097">
        <v>4704</v>
      </c>
      <c r="G3097" t="s">
        <v>221</v>
      </c>
      <c r="H3097" t="s">
        <v>16</v>
      </c>
      <c r="I3097" t="s">
        <v>1470</v>
      </c>
      <c r="J3097" t="s">
        <v>1471</v>
      </c>
      <c r="K3097" t="s">
        <v>1809</v>
      </c>
      <c r="L3097" t="str">
        <f>HYPERLINK("https://business-monitor.ch/de/companies/568353-burri-heizung-sanitaer?utm_source=oberaargau","PROFIL ANSEHEN")</f>
        <v>PROFIL ANSEHEN</v>
      </c>
    </row>
    <row r="3098" spans="1:12" x14ac:dyDescent="0.2">
      <c r="A3098" t="s">
        <v>9169</v>
      </c>
      <c r="B3098" t="s">
        <v>9170</v>
      </c>
      <c r="C3098" t="s">
        <v>202</v>
      </c>
      <c r="E3098" t="s">
        <v>9171</v>
      </c>
      <c r="F3098">
        <v>3365</v>
      </c>
      <c r="G3098" t="s">
        <v>1008</v>
      </c>
      <c r="H3098" t="s">
        <v>16</v>
      </c>
      <c r="I3098" t="s">
        <v>366</v>
      </c>
      <c r="J3098" t="s">
        <v>367</v>
      </c>
      <c r="K3098" t="s">
        <v>1809</v>
      </c>
      <c r="L3098" t="str">
        <f>HYPERLINK("https://business-monitor.ch/de/companies/169434-senioren-pension-waldruhe-gmbh?utm_source=oberaargau","PROFIL ANSEHEN")</f>
        <v>PROFIL ANSEHEN</v>
      </c>
    </row>
    <row r="3099" spans="1:12" x14ac:dyDescent="0.2">
      <c r="A3099" t="s">
        <v>12802</v>
      </c>
      <c r="B3099" t="s">
        <v>12803</v>
      </c>
      <c r="C3099" t="s">
        <v>1812</v>
      </c>
      <c r="E3099" t="s">
        <v>12804</v>
      </c>
      <c r="F3099">
        <v>3380</v>
      </c>
      <c r="G3099" t="s">
        <v>29</v>
      </c>
      <c r="H3099" t="s">
        <v>16</v>
      </c>
      <c r="I3099" t="s">
        <v>7350</v>
      </c>
      <c r="J3099" t="s">
        <v>7351</v>
      </c>
      <c r="K3099" t="s">
        <v>1809</v>
      </c>
      <c r="L3099" t="str">
        <f>HYPERLINK("https://business-monitor.ch/de/companies/1218250-rolli-s-entsorgung?utm_source=oberaargau","PROFIL ANSEHEN")</f>
        <v>PROFIL ANSEHEN</v>
      </c>
    </row>
    <row r="3100" spans="1:12" x14ac:dyDescent="0.2">
      <c r="A3100" t="s">
        <v>10145</v>
      </c>
      <c r="B3100" t="s">
        <v>10146</v>
      </c>
      <c r="C3100" t="s">
        <v>202</v>
      </c>
      <c r="E3100" t="s">
        <v>10147</v>
      </c>
      <c r="F3100">
        <v>4704</v>
      </c>
      <c r="G3100" t="s">
        <v>221</v>
      </c>
      <c r="H3100" t="s">
        <v>16</v>
      </c>
      <c r="I3100" t="s">
        <v>1062</v>
      </c>
      <c r="J3100" t="s">
        <v>1063</v>
      </c>
      <c r="K3100" t="s">
        <v>1809</v>
      </c>
      <c r="L3100" t="str">
        <f>HYPERLINK("https://business-monitor.ch/de/companies/654474-h-obi-gmbh?utm_source=oberaargau","PROFIL ANSEHEN")</f>
        <v>PROFIL ANSEHEN</v>
      </c>
    </row>
    <row r="3101" spans="1:12" x14ac:dyDescent="0.2">
      <c r="A3101" t="s">
        <v>13383</v>
      </c>
      <c r="B3101" t="s">
        <v>13384</v>
      </c>
      <c r="C3101" t="s">
        <v>1812</v>
      </c>
      <c r="E3101" t="s">
        <v>8455</v>
      </c>
      <c r="F3101">
        <v>3360</v>
      </c>
      <c r="G3101" t="s">
        <v>35</v>
      </c>
      <c r="H3101" t="s">
        <v>16</v>
      </c>
      <c r="I3101" t="s">
        <v>1860</v>
      </c>
      <c r="J3101" t="s">
        <v>1861</v>
      </c>
      <c r="K3101" t="s">
        <v>1809</v>
      </c>
      <c r="L3101" t="str">
        <f>HYPERLINK("https://business-monitor.ch/de/companies/1252550-darya-coiffeur-inh-mostafa?utm_source=oberaargau","PROFIL ANSEHEN")</f>
        <v>PROFIL ANSEHEN</v>
      </c>
    </row>
    <row r="3102" spans="1:12" x14ac:dyDescent="0.2">
      <c r="A3102" t="s">
        <v>3789</v>
      </c>
      <c r="B3102" t="s">
        <v>3790</v>
      </c>
      <c r="C3102" t="s">
        <v>1812</v>
      </c>
      <c r="E3102" t="s">
        <v>3791</v>
      </c>
      <c r="F3102">
        <v>4538</v>
      </c>
      <c r="G3102" t="s">
        <v>71</v>
      </c>
      <c r="H3102" t="s">
        <v>16</v>
      </c>
      <c r="I3102" t="s">
        <v>551</v>
      </c>
      <c r="J3102" t="s">
        <v>552</v>
      </c>
      <c r="K3102" t="s">
        <v>1809</v>
      </c>
      <c r="L3102" t="str">
        <f>HYPERLINK("https://business-monitor.ch/de/companies/540165-uebersax-consulting?utm_source=oberaargau","PROFIL ANSEHEN")</f>
        <v>PROFIL ANSEHEN</v>
      </c>
    </row>
    <row r="3103" spans="1:12" x14ac:dyDescent="0.2">
      <c r="A3103" t="s">
        <v>4837</v>
      </c>
      <c r="B3103" t="s">
        <v>4838</v>
      </c>
      <c r="C3103" t="s">
        <v>13</v>
      </c>
      <c r="E3103" t="s">
        <v>2382</v>
      </c>
      <c r="F3103">
        <v>3367</v>
      </c>
      <c r="G3103" t="s">
        <v>455</v>
      </c>
      <c r="H3103" t="s">
        <v>16</v>
      </c>
      <c r="I3103" t="s">
        <v>1485</v>
      </c>
      <c r="J3103" t="s">
        <v>1486</v>
      </c>
      <c r="K3103" t="s">
        <v>1809</v>
      </c>
      <c r="L3103" t="str">
        <f>HYPERLINK("https://business-monitor.ch/de/companies/544435-vitapower-ag?utm_source=oberaargau","PROFIL ANSEHEN")</f>
        <v>PROFIL ANSEHEN</v>
      </c>
    </row>
    <row r="3104" spans="1:12" x14ac:dyDescent="0.2">
      <c r="A3104" t="s">
        <v>2086</v>
      </c>
      <c r="B3104" t="s">
        <v>2087</v>
      </c>
      <c r="C3104" t="s">
        <v>1812</v>
      </c>
      <c r="E3104" t="s">
        <v>2088</v>
      </c>
      <c r="F3104">
        <v>4922</v>
      </c>
      <c r="G3104" t="s">
        <v>99</v>
      </c>
      <c r="H3104" t="s">
        <v>16</v>
      </c>
      <c r="I3104" t="s">
        <v>1401</v>
      </c>
      <c r="J3104" t="s">
        <v>1402</v>
      </c>
      <c r="K3104" t="s">
        <v>1809</v>
      </c>
      <c r="L3104" t="str">
        <f>HYPERLINK("https://business-monitor.ch/de/companies/115062-blumenboutique-gaby-ambuehl?utm_source=oberaargau","PROFIL ANSEHEN")</f>
        <v>PROFIL ANSEHEN</v>
      </c>
    </row>
    <row r="3105" spans="1:12" x14ac:dyDescent="0.2">
      <c r="A3105" t="s">
        <v>8912</v>
      </c>
      <c r="B3105" t="s">
        <v>8913</v>
      </c>
      <c r="C3105" t="s">
        <v>1812</v>
      </c>
      <c r="E3105" t="s">
        <v>7560</v>
      </c>
      <c r="F3105">
        <v>4704</v>
      </c>
      <c r="G3105" t="s">
        <v>221</v>
      </c>
      <c r="H3105" t="s">
        <v>16</v>
      </c>
      <c r="I3105" t="s">
        <v>1740</v>
      </c>
      <c r="J3105" t="s">
        <v>1741</v>
      </c>
      <c r="K3105" t="s">
        <v>1809</v>
      </c>
      <c r="L3105" t="str">
        <f>HYPERLINK("https://business-monitor.ch/de/companies/288428-huser-allwoerker?utm_source=oberaargau","PROFIL ANSEHEN")</f>
        <v>PROFIL ANSEHEN</v>
      </c>
    </row>
    <row r="3106" spans="1:12" x14ac:dyDescent="0.2">
      <c r="A3106" t="s">
        <v>3555</v>
      </c>
      <c r="B3106" t="s">
        <v>3556</v>
      </c>
      <c r="C3106" t="s">
        <v>202</v>
      </c>
      <c r="D3106" t="s">
        <v>3557</v>
      </c>
      <c r="E3106" t="s">
        <v>3558</v>
      </c>
      <c r="F3106">
        <v>4932</v>
      </c>
      <c r="G3106" t="s">
        <v>325</v>
      </c>
      <c r="H3106" t="s">
        <v>16</v>
      </c>
      <c r="I3106" t="s">
        <v>2825</v>
      </c>
      <c r="J3106" t="s">
        <v>2826</v>
      </c>
      <c r="K3106" t="s">
        <v>1809</v>
      </c>
      <c r="L3106" t="str">
        <f>HYPERLINK("https://business-monitor.ch/de/companies/120030-alras-gmbh?utm_source=oberaargau","PROFIL ANSEHEN")</f>
        <v>PROFIL ANSEHEN</v>
      </c>
    </row>
    <row r="3107" spans="1:12" x14ac:dyDescent="0.2">
      <c r="A3107" t="s">
        <v>9228</v>
      </c>
      <c r="B3107" t="s">
        <v>9229</v>
      </c>
      <c r="C3107" t="s">
        <v>13</v>
      </c>
      <c r="E3107" t="s">
        <v>7862</v>
      </c>
      <c r="F3107">
        <v>4937</v>
      </c>
      <c r="G3107" t="s">
        <v>951</v>
      </c>
      <c r="H3107" t="s">
        <v>16</v>
      </c>
      <c r="I3107" t="s">
        <v>134</v>
      </c>
      <c r="J3107" t="s">
        <v>135</v>
      </c>
      <c r="K3107" t="s">
        <v>1809</v>
      </c>
      <c r="L3107" t="str">
        <f>HYPERLINK("https://business-monitor.ch/de/companies/131464-elektro-scheidegger-ag-ursenbach?utm_source=oberaargau","PROFIL ANSEHEN")</f>
        <v>PROFIL ANSEHEN</v>
      </c>
    </row>
    <row r="3108" spans="1:12" x14ac:dyDescent="0.2">
      <c r="A3108" t="s">
        <v>3305</v>
      </c>
      <c r="B3108" t="s">
        <v>3306</v>
      </c>
      <c r="C3108" t="s">
        <v>202</v>
      </c>
      <c r="E3108" t="s">
        <v>3307</v>
      </c>
      <c r="F3108">
        <v>4952</v>
      </c>
      <c r="G3108" t="s">
        <v>474</v>
      </c>
      <c r="H3108" t="s">
        <v>16</v>
      </c>
      <c r="I3108" t="s">
        <v>1535</v>
      </c>
      <c r="J3108" t="s">
        <v>1536</v>
      </c>
      <c r="K3108" t="s">
        <v>1809</v>
      </c>
      <c r="L3108" t="str">
        <f>HYPERLINK("https://business-monitor.ch/de/companies/242213-gartenwerke-gmbh?utm_source=oberaargau","PROFIL ANSEHEN")</f>
        <v>PROFIL ANSEHEN</v>
      </c>
    </row>
    <row r="3109" spans="1:12" x14ac:dyDescent="0.2">
      <c r="A3109" t="s">
        <v>10137</v>
      </c>
      <c r="B3109" t="s">
        <v>10138</v>
      </c>
      <c r="C3109" t="s">
        <v>13</v>
      </c>
      <c r="E3109" t="s">
        <v>10139</v>
      </c>
      <c r="F3109">
        <v>4912</v>
      </c>
      <c r="G3109" t="s">
        <v>64</v>
      </c>
      <c r="H3109" t="s">
        <v>16</v>
      </c>
      <c r="I3109" t="s">
        <v>671</v>
      </c>
      <c r="J3109" t="s">
        <v>672</v>
      </c>
      <c r="K3109" t="s">
        <v>1809</v>
      </c>
      <c r="L3109" t="str">
        <f>HYPERLINK("https://business-monitor.ch/de/companies/655756-gruppenpraxis-dres-med-krieger-ag?utm_source=oberaargau","PROFIL ANSEHEN")</f>
        <v>PROFIL ANSEHEN</v>
      </c>
    </row>
    <row r="3110" spans="1:12" x14ac:dyDescent="0.2">
      <c r="A3110" t="s">
        <v>6395</v>
      </c>
      <c r="B3110" t="s">
        <v>6396</v>
      </c>
      <c r="C3110" t="s">
        <v>202</v>
      </c>
      <c r="E3110" t="s">
        <v>6397</v>
      </c>
      <c r="F3110">
        <v>4954</v>
      </c>
      <c r="G3110" t="s">
        <v>359</v>
      </c>
      <c r="H3110" t="s">
        <v>16</v>
      </c>
      <c r="I3110" t="s">
        <v>679</v>
      </c>
      <c r="J3110" t="s">
        <v>680</v>
      </c>
      <c r="K3110" t="s">
        <v>1809</v>
      </c>
      <c r="L3110" t="str">
        <f>HYPERLINK("https://business-monitor.ch/de/companies/293377-u-sollberger-schreinerei-gmbh?utm_source=oberaargau","PROFIL ANSEHEN")</f>
        <v>PROFIL ANSEHEN</v>
      </c>
    </row>
    <row r="3111" spans="1:12" x14ac:dyDescent="0.2">
      <c r="A3111" t="s">
        <v>1674</v>
      </c>
      <c r="B3111" t="s">
        <v>1675</v>
      </c>
      <c r="C3111" t="s">
        <v>13</v>
      </c>
      <c r="E3111" t="s">
        <v>390</v>
      </c>
      <c r="F3111">
        <v>4950</v>
      </c>
      <c r="G3111" t="s">
        <v>15</v>
      </c>
      <c r="H3111" t="s">
        <v>16</v>
      </c>
      <c r="I3111" t="s">
        <v>551</v>
      </c>
      <c r="J3111" t="s">
        <v>552</v>
      </c>
      <c r="K3111" t="s">
        <v>1809</v>
      </c>
      <c r="L3111" t="str">
        <f>HYPERLINK("https://business-monitor.ch/de/companies/246735-asa-consulting-ag?utm_source=oberaargau","PROFIL ANSEHEN")</f>
        <v>PROFIL ANSEHEN</v>
      </c>
    </row>
    <row r="3112" spans="1:12" x14ac:dyDescent="0.2">
      <c r="A3112" t="s">
        <v>12935</v>
      </c>
      <c r="B3112" t="s">
        <v>12936</v>
      </c>
      <c r="C3112" t="s">
        <v>13</v>
      </c>
      <c r="E3112" t="s">
        <v>880</v>
      </c>
      <c r="F3112">
        <v>3368</v>
      </c>
      <c r="G3112" t="s">
        <v>308</v>
      </c>
      <c r="H3112" t="s">
        <v>16</v>
      </c>
      <c r="I3112" t="s">
        <v>781</v>
      </c>
      <c r="J3112" t="s">
        <v>782</v>
      </c>
      <c r="K3112" t="s">
        <v>1809</v>
      </c>
      <c r="L3112" t="str">
        <f>HYPERLINK("https://business-monitor.ch/de/companies/635552-h-sueess-co-ag?utm_source=oberaargau","PROFIL ANSEHEN")</f>
        <v>PROFIL ANSEHEN</v>
      </c>
    </row>
    <row r="3113" spans="1:12" x14ac:dyDescent="0.2">
      <c r="A3113" t="s">
        <v>4259</v>
      </c>
      <c r="B3113" t="s">
        <v>4260</v>
      </c>
      <c r="C3113" t="s">
        <v>202</v>
      </c>
      <c r="E3113" t="s">
        <v>4261</v>
      </c>
      <c r="F3113">
        <v>3365</v>
      </c>
      <c r="G3113" t="s">
        <v>2390</v>
      </c>
      <c r="H3113" t="s">
        <v>16</v>
      </c>
      <c r="I3113" t="s">
        <v>917</v>
      </c>
      <c r="J3113" t="s">
        <v>918</v>
      </c>
      <c r="K3113" t="s">
        <v>1809</v>
      </c>
      <c r="L3113" t="str">
        <f>HYPERLINK("https://business-monitor.ch/de/companies/986512-engineering-5d-gmbh?utm_source=oberaargau","PROFIL ANSEHEN")</f>
        <v>PROFIL ANSEHEN</v>
      </c>
    </row>
    <row r="3114" spans="1:12" x14ac:dyDescent="0.2">
      <c r="A3114" t="s">
        <v>9499</v>
      </c>
      <c r="B3114" t="s">
        <v>9500</v>
      </c>
      <c r="C3114" t="s">
        <v>1812</v>
      </c>
      <c r="E3114" t="s">
        <v>5495</v>
      </c>
      <c r="F3114">
        <v>4900</v>
      </c>
      <c r="G3114" t="s">
        <v>41</v>
      </c>
      <c r="H3114" t="s">
        <v>16</v>
      </c>
      <c r="I3114" t="s">
        <v>157</v>
      </c>
      <c r="J3114" t="s">
        <v>158</v>
      </c>
      <c r="K3114" t="s">
        <v>1809</v>
      </c>
      <c r="L3114" t="str">
        <f>HYPERLINK("https://business-monitor.ch/de/companies/617290-rau-immobilien?utm_source=oberaargau","PROFIL ANSEHEN")</f>
        <v>PROFIL ANSEHEN</v>
      </c>
    </row>
    <row r="3115" spans="1:12" x14ac:dyDescent="0.2">
      <c r="A3115" t="s">
        <v>2170</v>
      </c>
      <c r="B3115" t="s">
        <v>2171</v>
      </c>
      <c r="C3115" t="s">
        <v>202</v>
      </c>
      <c r="E3115" t="s">
        <v>2172</v>
      </c>
      <c r="F3115">
        <v>3380</v>
      </c>
      <c r="G3115" t="s">
        <v>29</v>
      </c>
      <c r="H3115" t="s">
        <v>16</v>
      </c>
      <c r="I3115" t="s">
        <v>24</v>
      </c>
      <c r="J3115" t="s">
        <v>25</v>
      </c>
      <c r="K3115" t="s">
        <v>1809</v>
      </c>
      <c r="L3115" t="str">
        <f>HYPERLINK("https://business-monitor.ch/de/companies/243228-apropos-informatik-gmbh?utm_source=oberaargau","PROFIL ANSEHEN")</f>
        <v>PROFIL ANSEHEN</v>
      </c>
    </row>
    <row r="3116" spans="1:12" x14ac:dyDescent="0.2">
      <c r="A3116" t="s">
        <v>7706</v>
      </c>
      <c r="B3116" t="s">
        <v>7707</v>
      </c>
      <c r="C3116" t="s">
        <v>1812</v>
      </c>
      <c r="E3116" t="s">
        <v>2085</v>
      </c>
      <c r="F3116">
        <v>4914</v>
      </c>
      <c r="G3116" t="s">
        <v>105</v>
      </c>
      <c r="H3116" t="s">
        <v>16</v>
      </c>
      <c r="I3116" t="s">
        <v>24</v>
      </c>
      <c r="J3116" t="s">
        <v>25</v>
      </c>
      <c r="K3116" t="s">
        <v>1809</v>
      </c>
      <c r="L3116" t="str">
        <f>HYPERLINK("https://business-monitor.ch/de/companies/611222-gloor-it-solutions?utm_source=oberaargau","PROFIL ANSEHEN")</f>
        <v>PROFIL ANSEHEN</v>
      </c>
    </row>
    <row r="3117" spans="1:12" x14ac:dyDescent="0.2">
      <c r="A3117" t="s">
        <v>6817</v>
      </c>
      <c r="B3117" t="s">
        <v>6818</v>
      </c>
      <c r="C3117" t="s">
        <v>13</v>
      </c>
      <c r="D3117" t="s">
        <v>870</v>
      </c>
      <c r="E3117" t="s">
        <v>871</v>
      </c>
      <c r="F3117">
        <v>4934</v>
      </c>
      <c r="G3117" t="s">
        <v>670</v>
      </c>
      <c r="H3117" t="s">
        <v>16</v>
      </c>
      <c r="I3117" t="s">
        <v>157</v>
      </c>
      <c r="J3117" t="s">
        <v>158</v>
      </c>
      <c r="K3117" t="s">
        <v>1809</v>
      </c>
      <c r="L3117" t="str">
        <f>HYPERLINK("https://business-monitor.ch/de/companies/74147-imag-gutenburg-ag?utm_source=oberaargau","PROFIL ANSEHEN")</f>
        <v>PROFIL ANSEHEN</v>
      </c>
    </row>
    <row r="3118" spans="1:12" x14ac:dyDescent="0.2">
      <c r="A3118" t="s">
        <v>7391</v>
      </c>
      <c r="B3118" t="s">
        <v>7392</v>
      </c>
      <c r="C3118" t="s">
        <v>2178</v>
      </c>
      <c r="E3118" t="s">
        <v>4796</v>
      </c>
      <c r="F3118">
        <v>4704</v>
      </c>
      <c r="G3118" t="s">
        <v>221</v>
      </c>
      <c r="H3118" t="s">
        <v>16</v>
      </c>
      <c r="I3118" t="s">
        <v>1535</v>
      </c>
      <c r="J3118" t="s">
        <v>1536</v>
      </c>
      <c r="K3118" t="s">
        <v>1809</v>
      </c>
      <c r="L3118" t="str">
        <f>HYPERLINK("https://business-monitor.ch/de/companies/965721-enea-gmbh?utm_source=oberaargau","PROFIL ANSEHEN")</f>
        <v>PROFIL ANSEHEN</v>
      </c>
    </row>
    <row r="3119" spans="1:12" x14ac:dyDescent="0.2">
      <c r="A3119" t="s">
        <v>1467</v>
      </c>
      <c r="B3119" t="s">
        <v>1468</v>
      </c>
      <c r="C3119" t="s">
        <v>13</v>
      </c>
      <c r="E3119" t="s">
        <v>1469</v>
      </c>
      <c r="F3119">
        <v>3380</v>
      </c>
      <c r="G3119" t="s">
        <v>29</v>
      </c>
      <c r="H3119" t="s">
        <v>16</v>
      </c>
      <c r="I3119" t="s">
        <v>1470</v>
      </c>
      <c r="J3119" t="s">
        <v>1471</v>
      </c>
      <c r="K3119" t="s">
        <v>1809</v>
      </c>
      <c r="L3119" t="str">
        <f>HYPERLINK("https://business-monitor.ch/de/companies/598498-urs-pfister-haustechnik-ag?utm_source=oberaargau","PROFIL ANSEHEN")</f>
        <v>PROFIL ANSEHEN</v>
      </c>
    </row>
    <row r="3120" spans="1:12" x14ac:dyDescent="0.2">
      <c r="A3120" t="s">
        <v>7629</v>
      </c>
      <c r="B3120" t="s">
        <v>10856</v>
      </c>
      <c r="C3120" t="s">
        <v>13</v>
      </c>
      <c r="E3120" t="s">
        <v>482</v>
      </c>
      <c r="F3120">
        <v>4950</v>
      </c>
      <c r="G3120" t="s">
        <v>15</v>
      </c>
      <c r="H3120" t="s">
        <v>16</v>
      </c>
      <c r="I3120" t="s">
        <v>186</v>
      </c>
      <c r="J3120" t="s">
        <v>187</v>
      </c>
      <c r="K3120" t="s">
        <v>1809</v>
      </c>
      <c r="L3120" t="str">
        <f>HYPERLINK("https://business-monitor.ch/de/companies/655999-holzprofil-ag?utm_source=oberaargau","PROFIL ANSEHEN")</f>
        <v>PROFIL ANSEHEN</v>
      </c>
    </row>
    <row r="3121" spans="1:12" x14ac:dyDescent="0.2">
      <c r="A3121" t="s">
        <v>4871</v>
      </c>
      <c r="B3121" t="s">
        <v>4872</v>
      </c>
      <c r="C3121" t="s">
        <v>202</v>
      </c>
      <c r="E3121" t="s">
        <v>4873</v>
      </c>
      <c r="F3121">
        <v>4922</v>
      </c>
      <c r="G3121" t="s">
        <v>99</v>
      </c>
      <c r="H3121" t="s">
        <v>16</v>
      </c>
      <c r="I3121" t="s">
        <v>1860</v>
      </c>
      <c r="J3121" t="s">
        <v>1861</v>
      </c>
      <c r="K3121" t="s">
        <v>1809</v>
      </c>
      <c r="L3121" t="str">
        <f>HYPERLINK("https://business-monitor.ch/de/companies/1095161-prestige-hair-makeup-gmbh?utm_source=oberaargau","PROFIL ANSEHEN")</f>
        <v>PROFIL ANSEHEN</v>
      </c>
    </row>
    <row r="3122" spans="1:12" x14ac:dyDescent="0.2">
      <c r="A3122" t="s">
        <v>6708</v>
      </c>
      <c r="B3122" t="s">
        <v>6709</v>
      </c>
      <c r="C3122" t="s">
        <v>1922</v>
      </c>
      <c r="E3122" t="s">
        <v>6710</v>
      </c>
      <c r="F3122">
        <v>4900</v>
      </c>
      <c r="G3122" t="s">
        <v>41</v>
      </c>
      <c r="H3122" t="s">
        <v>16</v>
      </c>
      <c r="I3122" t="s">
        <v>6711</v>
      </c>
      <c r="J3122" t="s">
        <v>6712</v>
      </c>
      <c r="K3122" t="s">
        <v>1809</v>
      </c>
      <c r="L3122" t="str">
        <f>HYPERLINK("https://business-monitor.ch/de/companies/146417-stiftung-fuer-ganzheitliche-medizin?utm_source=oberaargau","PROFIL ANSEHEN")</f>
        <v>PROFIL ANSEHEN</v>
      </c>
    </row>
    <row r="3123" spans="1:12" x14ac:dyDescent="0.2">
      <c r="A3123" t="s">
        <v>8959</v>
      </c>
      <c r="B3123" t="s">
        <v>9002</v>
      </c>
      <c r="C3123" t="s">
        <v>202</v>
      </c>
      <c r="E3123" t="s">
        <v>4507</v>
      </c>
      <c r="F3123">
        <v>4900</v>
      </c>
      <c r="G3123" t="s">
        <v>41</v>
      </c>
      <c r="H3123" t="s">
        <v>16</v>
      </c>
      <c r="I3123" t="s">
        <v>475</v>
      </c>
      <c r="J3123" t="s">
        <v>476</v>
      </c>
      <c r="K3123" t="s">
        <v>1809</v>
      </c>
      <c r="L3123" t="str">
        <f>HYPERLINK("https://business-monitor.ch/de/companies/235426-varitronix-switzerland-gmbh?utm_source=oberaargau","PROFIL ANSEHEN")</f>
        <v>PROFIL ANSEHEN</v>
      </c>
    </row>
    <row r="3124" spans="1:12" x14ac:dyDescent="0.2">
      <c r="A3124" t="s">
        <v>576</v>
      </c>
      <c r="B3124" t="s">
        <v>13814</v>
      </c>
      <c r="C3124" t="s">
        <v>202</v>
      </c>
      <c r="D3124" t="s">
        <v>11648</v>
      </c>
      <c r="E3124" t="s">
        <v>9493</v>
      </c>
      <c r="F3124">
        <v>4912</v>
      </c>
      <c r="G3124" t="s">
        <v>64</v>
      </c>
      <c r="H3124" t="s">
        <v>16</v>
      </c>
      <c r="I3124" t="s">
        <v>642</v>
      </c>
      <c r="J3124" t="s">
        <v>643</v>
      </c>
      <c r="K3124" t="s">
        <v>1809</v>
      </c>
      <c r="L3124" t="str">
        <f>HYPERLINK("https://business-monitor.ch/de/companies/722973-innocar-gmbh?utm_source=oberaargau","PROFIL ANSEHEN")</f>
        <v>PROFIL ANSEHEN</v>
      </c>
    </row>
    <row r="3125" spans="1:12" x14ac:dyDescent="0.2">
      <c r="A3125" t="s">
        <v>6921</v>
      </c>
      <c r="B3125" t="s">
        <v>6922</v>
      </c>
      <c r="C3125" t="s">
        <v>13</v>
      </c>
      <c r="D3125" t="s">
        <v>6923</v>
      </c>
      <c r="E3125" t="s">
        <v>6924</v>
      </c>
      <c r="F3125">
        <v>3380</v>
      </c>
      <c r="G3125" t="s">
        <v>29</v>
      </c>
      <c r="H3125" t="s">
        <v>16</v>
      </c>
      <c r="I3125" t="s">
        <v>182</v>
      </c>
      <c r="J3125" t="s">
        <v>183</v>
      </c>
      <c r="K3125" t="s">
        <v>1809</v>
      </c>
      <c r="L3125" t="str">
        <f>HYPERLINK("https://business-monitor.ch/de/companies/198568-rislag-ag?utm_source=oberaargau","PROFIL ANSEHEN")</f>
        <v>PROFIL ANSEHEN</v>
      </c>
    </row>
    <row r="3126" spans="1:12" x14ac:dyDescent="0.2">
      <c r="A3126" t="s">
        <v>9275</v>
      </c>
      <c r="B3126" t="s">
        <v>9276</v>
      </c>
      <c r="C3126" t="s">
        <v>13</v>
      </c>
      <c r="E3126" t="s">
        <v>311</v>
      </c>
      <c r="F3126">
        <v>3360</v>
      </c>
      <c r="G3126" t="s">
        <v>35</v>
      </c>
      <c r="H3126" t="s">
        <v>16</v>
      </c>
      <c r="I3126" t="s">
        <v>186</v>
      </c>
      <c r="J3126" t="s">
        <v>187</v>
      </c>
      <c r="K3126" t="s">
        <v>1809</v>
      </c>
      <c r="L3126" t="str">
        <f>HYPERLINK("https://business-monitor.ch/de/companies/108034-kreuz-herzogenbuchsee-holding-ag?utm_source=oberaargau","PROFIL ANSEHEN")</f>
        <v>PROFIL ANSEHEN</v>
      </c>
    </row>
    <row r="3127" spans="1:12" x14ac:dyDescent="0.2">
      <c r="A3127" t="s">
        <v>6365</v>
      </c>
      <c r="B3127" t="s">
        <v>6366</v>
      </c>
      <c r="C3127" t="s">
        <v>202</v>
      </c>
      <c r="E3127" t="s">
        <v>6367</v>
      </c>
      <c r="F3127">
        <v>4900</v>
      </c>
      <c r="G3127" t="s">
        <v>41</v>
      </c>
      <c r="H3127" t="s">
        <v>16</v>
      </c>
      <c r="I3127" t="s">
        <v>3369</v>
      </c>
      <c r="J3127" t="s">
        <v>3370</v>
      </c>
      <c r="K3127" t="s">
        <v>1809</v>
      </c>
      <c r="L3127" t="str">
        <f>HYPERLINK("https://business-monitor.ch/de/companies/309076-zahntechnik-stupan-gmbh?utm_source=oberaargau","PROFIL ANSEHEN")</f>
        <v>PROFIL ANSEHEN</v>
      </c>
    </row>
    <row r="3128" spans="1:12" x14ac:dyDescent="0.2">
      <c r="A3128" t="s">
        <v>999</v>
      </c>
      <c r="B3128" t="s">
        <v>11544</v>
      </c>
      <c r="C3128" t="s">
        <v>13</v>
      </c>
      <c r="D3128" t="s">
        <v>12798</v>
      </c>
      <c r="E3128" t="s">
        <v>7874</v>
      </c>
      <c r="F3128">
        <v>4912</v>
      </c>
      <c r="G3128" t="s">
        <v>64</v>
      </c>
      <c r="H3128" t="s">
        <v>16</v>
      </c>
      <c r="I3128" t="s">
        <v>186</v>
      </c>
      <c r="J3128" t="s">
        <v>187</v>
      </c>
      <c r="K3128" t="s">
        <v>1809</v>
      </c>
      <c r="L3128" t="str">
        <f>HYPERLINK("https://business-monitor.ch/de/companies/313594-contix-holding-ag?utm_source=oberaargau","PROFIL ANSEHEN")</f>
        <v>PROFIL ANSEHEN</v>
      </c>
    </row>
    <row r="3129" spans="1:12" x14ac:dyDescent="0.2">
      <c r="A3129" t="s">
        <v>2581</v>
      </c>
      <c r="B3129" t="s">
        <v>2582</v>
      </c>
      <c r="C3129" t="s">
        <v>202</v>
      </c>
      <c r="D3129" t="s">
        <v>2583</v>
      </c>
      <c r="E3129" t="s">
        <v>1346</v>
      </c>
      <c r="F3129">
        <v>4950</v>
      </c>
      <c r="G3129" t="s">
        <v>15</v>
      </c>
      <c r="H3129" t="s">
        <v>16</v>
      </c>
      <c r="I3129" t="s">
        <v>227</v>
      </c>
      <c r="J3129" t="s">
        <v>228</v>
      </c>
      <c r="K3129" t="s">
        <v>1809</v>
      </c>
      <c r="L3129" t="str">
        <f>HYPERLINK("https://business-monitor.ch/de/companies/368009-himag-handel-gmbh?utm_source=oberaargau","PROFIL ANSEHEN")</f>
        <v>PROFIL ANSEHEN</v>
      </c>
    </row>
    <row r="3130" spans="1:12" x14ac:dyDescent="0.2">
      <c r="A3130" t="s">
        <v>6305</v>
      </c>
      <c r="B3130" t="s">
        <v>6306</v>
      </c>
      <c r="C3130" t="s">
        <v>13</v>
      </c>
      <c r="E3130" t="s">
        <v>2639</v>
      </c>
      <c r="F3130">
        <v>4900</v>
      </c>
      <c r="G3130" t="s">
        <v>41</v>
      </c>
      <c r="H3130" t="s">
        <v>16</v>
      </c>
      <c r="I3130" t="s">
        <v>1337</v>
      </c>
      <c r="J3130" t="s">
        <v>1338</v>
      </c>
      <c r="K3130" t="s">
        <v>1809</v>
      </c>
      <c r="L3130" t="str">
        <f>HYPERLINK("https://business-monitor.ch/de/companies/333552-nyala-ag?utm_source=oberaargau","PROFIL ANSEHEN")</f>
        <v>PROFIL ANSEHEN</v>
      </c>
    </row>
    <row r="3131" spans="1:12" x14ac:dyDescent="0.2">
      <c r="A3131" t="s">
        <v>11356</v>
      </c>
      <c r="B3131" t="s">
        <v>11357</v>
      </c>
      <c r="C3131" t="s">
        <v>13</v>
      </c>
      <c r="E3131" t="s">
        <v>2029</v>
      </c>
      <c r="F3131">
        <v>4952</v>
      </c>
      <c r="G3131" t="s">
        <v>474</v>
      </c>
      <c r="H3131" t="s">
        <v>16</v>
      </c>
      <c r="I3131" t="s">
        <v>153</v>
      </c>
      <c r="J3131" t="s">
        <v>154</v>
      </c>
      <c r="K3131" t="s">
        <v>1809</v>
      </c>
      <c r="L3131" t="str">
        <f>HYPERLINK("https://business-monitor.ch/de/companies/138447-geiger-maschinenbau-ag?utm_source=oberaargau","PROFIL ANSEHEN")</f>
        <v>PROFIL ANSEHEN</v>
      </c>
    </row>
    <row r="3132" spans="1:12" x14ac:dyDescent="0.2">
      <c r="A3132" t="s">
        <v>2413</v>
      </c>
      <c r="B3132" t="s">
        <v>5937</v>
      </c>
      <c r="C3132" t="s">
        <v>202</v>
      </c>
      <c r="E3132" t="s">
        <v>5938</v>
      </c>
      <c r="F3132">
        <v>3380</v>
      </c>
      <c r="G3132" t="s">
        <v>29</v>
      </c>
      <c r="H3132" t="s">
        <v>16</v>
      </c>
      <c r="I3132" t="s">
        <v>1140</v>
      </c>
      <c r="J3132" t="s">
        <v>1141</v>
      </c>
      <c r="K3132" t="s">
        <v>1809</v>
      </c>
      <c r="L3132" t="str">
        <f>HYPERLINK("https://business-monitor.ch/de/companies/394296-sembatec-gmbh?utm_source=oberaargau","PROFIL ANSEHEN")</f>
        <v>PROFIL ANSEHEN</v>
      </c>
    </row>
    <row r="3133" spans="1:12" x14ac:dyDescent="0.2">
      <c r="A3133" t="s">
        <v>2829</v>
      </c>
      <c r="B3133" t="s">
        <v>2830</v>
      </c>
      <c r="C3133" t="s">
        <v>1812</v>
      </c>
      <c r="E3133" t="s">
        <v>2831</v>
      </c>
      <c r="F3133">
        <v>3377</v>
      </c>
      <c r="G3133" t="s">
        <v>1220</v>
      </c>
      <c r="H3133" t="s">
        <v>16</v>
      </c>
      <c r="I3133" t="s">
        <v>1401</v>
      </c>
      <c r="J3133" t="s">
        <v>1402</v>
      </c>
      <c r="K3133" t="s">
        <v>1809</v>
      </c>
      <c r="L3133" t="str">
        <f>HYPERLINK("https://business-monitor.ch/de/companies/396721-blumenwerkstatt-anna-sommer?utm_source=oberaargau","PROFIL ANSEHEN")</f>
        <v>PROFIL ANSEHEN</v>
      </c>
    </row>
    <row r="3134" spans="1:12" x14ac:dyDescent="0.2">
      <c r="A3134" t="s">
        <v>6096</v>
      </c>
      <c r="B3134" t="s">
        <v>6097</v>
      </c>
      <c r="C3134" t="s">
        <v>202</v>
      </c>
      <c r="E3134" t="s">
        <v>6098</v>
      </c>
      <c r="F3134">
        <v>4912</v>
      </c>
      <c r="G3134" t="s">
        <v>64</v>
      </c>
      <c r="H3134" t="s">
        <v>16</v>
      </c>
      <c r="I3134" t="s">
        <v>1361</v>
      </c>
      <c r="J3134" t="s">
        <v>1362</v>
      </c>
      <c r="K3134" t="s">
        <v>1809</v>
      </c>
      <c r="L3134" t="str">
        <f>HYPERLINK("https://business-monitor.ch/de/companies/406212-nyma-fashion-gmbh?utm_source=oberaargau","PROFIL ANSEHEN")</f>
        <v>PROFIL ANSEHEN</v>
      </c>
    </row>
    <row r="3135" spans="1:12" x14ac:dyDescent="0.2">
      <c r="A3135" t="s">
        <v>2724</v>
      </c>
      <c r="B3135" t="s">
        <v>2725</v>
      </c>
      <c r="C3135" t="s">
        <v>202</v>
      </c>
      <c r="E3135" t="s">
        <v>9354</v>
      </c>
      <c r="F3135">
        <v>4900</v>
      </c>
      <c r="G3135" t="s">
        <v>41</v>
      </c>
      <c r="H3135" t="s">
        <v>16</v>
      </c>
      <c r="I3135" t="s">
        <v>186</v>
      </c>
      <c r="J3135" t="s">
        <v>187</v>
      </c>
      <c r="K3135" t="s">
        <v>1809</v>
      </c>
      <c r="L3135" t="str">
        <f>HYPERLINK("https://business-monitor.ch/de/companies/459659-m-widmer-holding-gmbh?utm_source=oberaargau","PROFIL ANSEHEN")</f>
        <v>PROFIL ANSEHEN</v>
      </c>
    </row>
    <row r="3136" spans="1:12" x14ac:dyDescent="0.2">
      <c r="A3136" t="s">
        <v>11469</v>
      </c>
      <c r="B3136" t="s">
        <v>11470</v>
      </c>
      <c r="C3136" t="s">
        <v>202</v>
      </c>
      <c r="E3136" t="s">
        <v>7322</v>
      </c>
      <c r="F3136">
        <v>3373</v>
      </c>
      <c r="G3136" t="s">
        <v>2429</v>
      </c>
      <c r="H3136" t="s">
        <v>16</v>
      </c>
      <c r="I3136" t="s">
        <v>642</v>
      </c>
      <c r="J3136" t="s">
        <v>643</v>
      </c>
      <c r="K3136" t="s">
        <v>1809</v>
      </c>
      <c r="L3136" t="str">
        <f>HYPERLINK("https://business-monitor.ch/de/companies/1144528-garage-aerni-gmbh?utm_source=oberaargau","PROFIL ANSEHEN")</f>
        <v>PROFIL ANSEHEN</v>
      </c>
    </row>
    <row r="3137" spans="1:12" x14ac:dyDescent="0.2">
      <c r="A3137" t="s">
        <v>5298</v>
      </c>
      <c r="B3137" t="s">
        <v>5299</v>
      </c>
      <c r="C3137" t="s">
        <v>1812</v>
      </c>
      <c r="E3137" t="s">
        <v>954</v>
      </c>
      <c r="F3137">
        <v>4950</v>
      </c>
      <c r="G3137" t="s">
        <v>15</v>
      </c>
      <c r="H3137" t="s">
        <v>16</v>
      </c>
      <c r="I3137" t="s">
        <v>2954</v>
      </c>
      <c r="J3137" t="s">
        <v>2955</v>
      </c>
      <c r="K3137" t="s">
        <v>1809</v>
      </c>
      <c r="L3137" t="str">
        <f>HYPERLINK("https://business-monitor.ch/de/companies/367291-flueckiger-kaminfeger?utm_source=oberaargau","PROFIL ANSEHEN")</f>
        <v>PROFIL ANSEHEN</v>
      </c>
    </row>
    <row r="3138" spans="1:12" x14ac:dyDescent="0.2">
      <c r="A3138" t="s">
        <v>8570</v>
      </c>
      <c r="B3138" t="s">
        <v>8571</v>
      </c>
      <c r="C3138" t="s">
        <v>202</v>
      </c>
      <c r="E3138" t="s">
        <v>5485</v>
      </c>
      <c r="F3138">
        <v>3380</v>
      </c>
      <c r="G3138" t="s">
        <v>29</v>
      </c>
      <c r="H3138" t="s">
        <v>16</v>
      </c>
      <c r="I3138" t="s">
        <v>4782</v>
      </c>
      <c r="J3138" t="s">
        <v>4783</v>
      </c>
      <c r="K3138" t="s">
        <v>1809</v>
      </c>
      <c r="L3138" t="str">
        <f>HYPERLINK("https://business-monitor.ch/de/companies/478509-orthovida-gmbh?utm_source=oberaargau","PROFIL ANSEHEN")</f>
        <v>PROFIL ANSEHEN</v>
      </c>
    </row>
    <row r="3139" spans="1:12" x14ac:dyDescent="0.2">
      <c r="A3139" t="s">
        <v>5296</v>
      </c>
      <c r="B3139" t="s">
        <v>5297</v>
      </c>
      <c r="C3139" t="s">
        <v>202</v>
      </c>
      <c r="E3139" t="s">
        <v>1130</v>
      </c>
      <c r="F3139">
        <v>4900</v>
      </c>
      <c r="G3139" t="s">
        <v>41</v>
      </c>
      <c r="H3139" t="s">
        <v>16</v>
      </c>
      <c r="I3139" t="s">
        <v>854</v>
      </c>
      <c r="J3139" t="s">
        <v>855</v>
      </c>
      <c r="K3139" t="s">
        <v>1809</v>
      </c>
      <c r="L3139" t="str">
        <f>HYPERLINK("https://business-monitor.ch/de/companies/410457-webrealisierung-gmbh?utm_source=oberaargau","PROFIL ANSEHEN")</f>
        <v>PROFIL ANSEHEN</v>
      </c>
    </row>
    <row r="3140" spans="1:12" x14ac:dyDescent="0.2">
      <c r="A3140" t="s">
        <v>12199</v>
      </c>
      <c r="B3140" t="s">
        <v>12200</v>
      </c>
      <c r="C3140" t="s">
        <v>202</v>
      </c>
      <c r="E3140" t="s">
        <v>12201</v>
      </c>
      <c r="F3140">
        <v>4950</v>
      </c>
      <c r="G3140" t="s">
        <v>15</v>
      </c>
      <c r="H3140" t="s">
        <v>16</v>
      </c>
      <c r="I3140" t="s">
        <v>260</v>
      </c>
      <c r="J3140" t="s">
        <v>261</v>
      </c>
      <c r="K3140" t="s">
        <v>1809</v>
      </c>
      <c r="L3140" t="str">
        <f>HYPERLINK("https://business-monitor.ch/de/companies/673913-architektur-bettler-gmbh?utm_source=oberaargau","PROFIL ANSEHEN")</f>
        <v>PROFIL ANSEHEN</v>
      </c>
    </row>
    <row r="3141" spans="1:12" x14ac:dyDescent="0.2">
      <c r="A3141" t="s">
        <v>8555</v>
      </c>
      <c r="B3141" t="s">
        <v>8556</v>
      </c>
      <c r="C3141" t="s">
        <v>202</v>
      </c>
      <c r="E3141" t="s">
        <v>8557</v>
      </c>
      <c r="F3141">
        <v>4900</v>
      </c>
      <c r="G3141" t="s">
        <v>41</v>
      </c>
      <c r="H3141" t="s">
        <v>16</v>
      </c>
      <c r="I3141" t="s">
        <v>2534</v>
      </c>
      <c r="J3141" t="s">
        <v>2535</v>
      </c>
      <c r="K3141" t="s">
        <v>1809</v>
      </c>
      <c r="L3141" t="str">
        <f>HYPERLINK("https://business-monitor.ch/de/companies/486235-suedamerikareisen-com-gmbh?utm_source=oberaargau","PROFIL ANSEHEN")</f>
        <v>PROFIL ANSEHEN</v>
      </c>
    </row>
    <row r="3142" spans="1:12" x14ac:dyDescent="0.2">
      <c r="A3142" t="s">
        <v>6002</v>
      </c>
      <c r="B3142" t="s">
        <v>6003</v>
      </c>
      <c r="C3142" t="s">
        <v>202</v>
      </c>
      <c r="E3142" t="s">
        <v>5249</v>
      </c>
      <c r="F3142">
        <v>4934</v>
      </c>
      <c r="G3142" t="s">
        <v>670</v>
      </c>
      <c r="H3142" t="s">
        <v>16</v>
      </c>
      <c r="I3142" t="s">
        <v>6004</v>
      </c>
      <c r="J3142" t="s">
        <v>6005</v>
      </c>
      <c r="K3142" t="s">
        <v>1809</v>
      </c>
      <c r="L3142" t="str">
        <f>HYPERLINK("https://business-monitor.ch/de/companies/447123-herzig-expertisen-gmbh?utm_source=oberaargau","PROFIL ANSEHEN")</f>
        <v>PROFIL ANSEHEN</v>
      </c>
    </row>
    <row r="3143" spans="1:12" x14ac:dyDescent="0.2">
      <c r="A3143" t="s">
        <v>3593</v>
      </c>
      <c r="B3143" t="s">
        <v>3594</v>
      </c>
      <c r="C3143" t="s">
        <v>202</v>
      </c>
      <c r="E3143" t="s">
        <v>3595</v>
      </c>
      <c r="F3143">
        <v>4704</v>
      </c>
      <c r="G3143" t="s">
        <v>221</v>
      </c>
      <c r="H3143" t="s">
        <v>16</v>
      </c>
      <c r="I3143" t="s">
        <v>2244</v>
      </c>
      <c r="J3143" t="s">
        <v>2245</v>
      </c>
      <c r="K3143" t="s">
        <v>1809</v>
      </c>
      <c r="L3143" t="str">
        <f>HYPERLINK("https://business-monitor.ch/de/companies/104460-hilfsmittel-markt-gmbh?utm_source=oberaargau","PROFIL ANSEHEN")</f>
        <v>PROFIL ANSEHEN</v>
      </c>
    </row>
    <row r="3144" spans="1:12" x14ac:dyDescent="0.2">
      <c r="A3144" t="s">
        <v>9078</v>
      </c>
      <c r="B3144" t="s">
        <v>9079</v>
      </c>
      <c r="C3144" t="s">
        <v>202</v>
      </c>
      <c r="E3144" t="s">
        <v>9080</v>
      </c>
      <c r="F3144">
        <v>4950</v>
      </c>
      <c r="G3144" t="s">
        <v>15</v>
      </c>
      <c r="H3144" t="s">
        <v>16</v>
      </c>
      <c r="I3144" t="s">
        <v>624</v>
      </c>
      <c r="J3144" t="s">
        <v>625</v>
      </c>
      <c r="K3144" t="s">
        <v>1809</v>
      </c>
      <c r="L3144" t="str">
        <f>HYPERLINK("https://business-monitor.ch/de/companies/173796-enz-holzbau-gmbh?utm_source=oberaargau","PROFIL ANSEHEN")</f>
        <v>PROFIL ANSEHEN</v>
      </c>
    </row>
    <row r="3145" spans="1:12" x14ac:dyDescent="0.2">
      <c r="A3145" t="s">
        <v>5582</v>
      </c>
      <c r="B3145" t="s">
        <v>5583</v>
      </c>
      <c r="C3145" t="s">
        <v>1812</v>
      </c>
      <c r="E3145" t="s">
        <v>5584</v>
      </c>
      <c r="F3145">
        <v>3365</v>
      </c>
      <c r="G3145" t="s">
        <v>2390</v>
      </c>
      <c r="H3145" t="s">
        <v>16</v>
      </c>
      <c r="I3145" t="s">
        <v>1535</v>
      </c>
      <c r="J3145" t="s">
        <v>1536</v>
      </c>
      <c r="K3145" t="s">
        <v>1809</v>
      </c>
      <c r="L3145" t="str">
        <f>HYPERLINK("https://business-monitor.ch/de/companies/402076-markus-gygax-gartenbau?utm_source=oberaargau","PROFIL ANSEHEN")</f>
        <v>PROFIL ANSEHEN</v>
      </c>
    </row>
    <row r="3146" spans="1:12" x14ac:dyDescent="0.2">
      <c r="A3146" t="s">
        <v>5820</v>
      </c>
      <c r="B3146" t="s">
        <v>5821</v>
      </c>
      <c r="C3146" t="s">
        <v>13</v>
      </c>
      <c r="D3146" t="s">
        <v>5822</v>
      </c>
      <c r="E3146" t="s">
        <v>5823</v>
      </c>
      <c r="F3146">
        <v>3360</v>
      </c>
      <c r="G3146" t="s">
        <v>35</v>
      </c>
      <c r="H3146" t="s">
        <v>16</v>
      </c>
      <c r="I3146" t="s">
        <v>186</v>
      </c>
      <c r="J3146" t="s">
        <v>187</v>
      </c>
      <c r="K3146" t="s">
        <v>1809</v>
      </c>
      <c r="L3146" t="str">
        <f>HYPERLINK("https://business-monitor.ch/de/companies/418685-tridelta-international-ag?utm_source=oberaargau","PROFIL ANSEHEN")</f>
        <v>PROFIL ANSEHEN</v>
      </c>
    </row>
    <row r="3147" spans="1:12" x14ac:dyDescent="0.2">
      <c r="A3147" t="s">
        <v>10584</v>
      </c>
      <c r="B3147" t="s">
        <v>10585</v>
      </c>
      <c r="C3147" t="s">
        <v>1812</v>
      </c>
      <c r="E3147" t="s">
        <v>10586</v>
      </c>
      <c r="F3147">
        <v>3380</v>
      </c>
      <c r="G3147" t="s">
        <v>29</v>
      </c>
      <c r="H3147" t="s">
        <v>16</v>
      </c>
      <c r="I3147" t="s">
        <v>4105</v>
      </c>
      <c r="J3147" t="s">
        <v>4106</v>
      </c>
      <c r="K3147" t="s">
        <v>1809</v>
      </c>
      <c r="L3147" t="str">
        <f>HYPERLINK("https://business-monitor.ch/de/companies/416520-tatort-kochschule-doris-weibel-egli?utm_source=oberaargau","PROFIL ANSEHEN")</f>
        <v>PROFIL ANSEHEN</v>
      </c>
    </row>
    <row r="3148" spans="1:12" x14ac:dyDescent="0.2">
      <c r="A3148" t="s">
        <v>5908</v>
      </c>
      <c r="B3148" t="s">
        <v>5909</v>
      </c>
      <c r="C3148" t="s">
        <v>2010</v>
      </c>
      <c r="E3148" t="s">
        <v>5910</v>
      </c>
      <c r="F3148">
        <v>3380</v>
      </c>
      <c r="G3148" t="s">
        <v>29</v>
      </c>
      <c r="H3148" t="s">
        <v>16</v>
      </c>
      <c r="I3148" t="s">
        <v>134</v>
      </c>
      <c r="J3148" t="s">
        <v>135</v>
      </c>
      <c r="K3148" t="s">
        <v>1809</v>
      </c>
      <c r="L3148" t="str">
        <f>HYPERLINK("https://business-monitor.ch/de/companies/490073-doqi-co-montage-services?utm_source=oberaargau","PROFIL ANSEHEN")</f>
        <v>PROFIL ANSEHEN</v>
      </c>
    </row>
    <row r="3149" spans="1:12" x14ac:dyDescent="0.2">
      <c r="A3149" t="s">
        <v>5898</v>
      </c>
      <c r="B3149" t="s">
        <v>5899</v>
      </c>
      <c r="C3149" t="s">
        <v>13</v>
      </c>
      <c r="D3149" t="s">
        <v>5900</v>
      </c>
      <c r="E3149" t="s">
        <v>5901</v>
      </c>
      <c r="F3149">
        <v>4900</v>
      </c>
      <c r="G3149" t="s">
        <v>41</v>
      </c>
      <c r="H3149" t="s">
        <v>16</v>
      </c>
      <c r="I3149" t="s">
        <v>186</v>
      </c>
      <c r="J3149" t="s">
        <v>187</v>
      </c>
      <c r="K3149" t="s">
        <v>1809</v>
      </c>
      <c r="L3149" t="str">
        <f>HYPERLINK("https://business-monitor.ch/de/companies/497671-bernhard-bieri-group-ag?utm_source=oberaargau","PROFIL ANSEHEN")</f>
        <v>PROFIL ANSEHEN</v>
      </c>
    </row>
    <row r="3150" spans="1:12" x14ac:dyDescent="0.2">
      <c r="A3150" t="s">
        <v>4997</v>
      </c>
      <c r="B3150" t="s">
        <v>4998</v>
      </c>
      <c r="C3150" t="s">
        <v>1812</v>
      </c>
      <c r="E3150" t="s">
        <v>4999</v>
      </c>
      <c r="F3150">
        <v>4900</v>
      </c>
      <c r="G3150" t="s">
        <v>41</v>
      </c>
      <c r="H3150" t="s">
        <v>16</v>
      </c>
      <c r="I3150" t="s">
        <v>1860</v>
      </c>
      <c r="J3150" t="s">
        <v>1861</v>
      </c>
      <c r="K3150" t="s">
        <v>1809</v>
      </c>
      <c r="L3150" t="str">
        <f>HYPERLINK("https://business-monitor.ch/de/companies/170924-coiffure-creative-anita-oetterli?utm_source=oberaargau","PROFIL ANSEHEN")</f>
        <v>PROFIL ANSEHEN</v>
      </c>
    </row>
    <row r="3151" spans="1:12" x14ac:dyDescent="0.2">
      <c r="A3151" t="s">
        <v>3335</v>
      </c>
      <c r="B3151" t="s">
        <v>3336</v>
      </c>
      <c r="C3151" t="s">
        <v>202</v>
      </c>
      <c r="E3151" t="s">
        <v>11552</v>
      </c>
      <c r="F3151">
        <v>4944</v>
      </c>
      <c r="G3151" t="s">
        <v>1176</v>
      </c>
      <c r="H3151" t="s">
        <v>16</v>
      </c>
      <c r="I3151" t="s">
        <v>679</v>
      </c>
      <c r="J3151" t="s">
        <v>680</v>
      </c>
      <c r="K3151" t="s">
        <v>1809</v>
      </c>
      <c r="L3151" t="str">
        <f>HYPERLINK("https://business-monitor.ch/de/companies/222358-hirschi-schreinerei-gmbh-bauplanung?utm_source=oberaargau","PROFIL ANSEHEN")</f>
        <v>PROFIL ANSEHEN</v>
      </c>
    </row>
    <row r="3152" spans="1:12" x14ac:dyDescent="0.2">
      <c r="A3152" t="s">
        <v>11170</v>
      </c>
      <c r="B3152" t="s">
        <v>11171</v>
      </c>
      <c r="C3152" t="s">
        <v>1812</v>
      </c>
      <c r="E3152" t="s">
        <v>7015</v>
      </c>
      <c r="F3152">
        <v>4911</v>
      </c>
      <c r="G3152" t="s">
        <v>1005</v>
      </c>
      <c r="H3152" t="s">
        <v>16</v>
      </c>
      <c r="I3152" t="s">
        <v>838</v>
      </c>
      <c r="J3152" t="s">
        <v>839</v>
      </c>
      <c r="K3152" t="s">
        <v>1809</v>
      </c>
      <c r="L3152" t="str">
        <f>HYPERLINK("https://business-monitor.ch/de/companies/1130533-brautmodenhaus-schwarzhaeusern-wyss?utm_source=oberaargau","PROFIL ANSEHEN")</f>
        <v>PROFIL ANSEHEN</v>
      </c>
    </row>
    <row r="3153" spans="1:12" x14ac:dyDescent="0.2">
      <c r="A3153" t="s">
        <v>11342</v>
      </c>
      <c r="B3153" t="s">
        <v>13421</v>
      </c>
      <c r="C3153" t="s">
        <v>1812</v>
      </c>
      <c r="E3153" t="s">
        <v>13422</v>
      </c>
      <c r="F3153">
        <v>3367</v>
      </c>
      <c r="G3153" t="s">
        <v>455</v>
      </c>
      <c r="H3153" t="s">
        <v>16</v>
      </c>
      <c r="I3153" t="s">
        <v>2213</v>
      </c>
      <c r="J3153" t="s">
        <v>2214</v>
      </c>
      <c r="K3153" t="s">
        <v>1809</v>
      </c>
      <c r="L3153" t="str">
        <f>HYPERLINK("https://business-monitor.ch/de/companies/1130677-reitsportzentrum-thoerigen-by-christine-baumgartner?utm_source=oberaargau","PROFIL ANSEHEN")</f>
        <v>PROFIL ANSEHEN</v>
      </c>
    </row>
    <row r="3154" spans="1:12" x14ac:dyDescent="0.2">
      <c r="A3154" t="s">
        <v>1891</v>
      </c>
      <c r="B3154" t="s">
        <v>1892</v>
      </c>
      <c r="C3154" t="s">
        <v>1812</v>
      </c>
      <c r="E3154" t="s">
        <v>1893</v>
      </c>
      <c r="F3154">
        <v>4900</v>
      </c>
      <c r="G3154" t="s">
        <v>41</v>
      </c>
      <c r="H3154" t="s">
        <v>16</v>
      </c>
      <c r="I3154" t="s">
        <v>1401</v>
      </c>
      <c r="J3154" t="s">
        <v>1402</v>
      </c>
      <c r="K3154" t="s">
        <v>1809</v>
      </c>
      <c r="L3154" t="str">
        <f>HYPERLINK("https://business-monitor.ch/de/companies/417012-blumenladen-brigitte-zaugg?utm_source=oberaargau","PROFIL ANSEHEN")</f>
        <v>PROFIL ANSEHEN</v>
      </c>
    </row>
    <row r="3155" spans="1:12" x14ac:dyDescent="0.2">
      <c r="A3155" t="s">
        <v>9989</v>
      </c>
      <c r="B3155" t="s">
        <v>9990</v>
      </c>
      <c r="C3155" t="s">
        <v>202</v>
      </c>
      <c r="E3155" t="s">
        <v>4738</v>
      </c>
      <c r="F3155">
        <v>4922</v>
      </c>
      <c r="G3155" t="s">
        <v>99</v>
      </c>
      <c r="H3155" t="s">
        <v>16</v>
      </c>
      <c r="I3155" t="s">
        <v>2226</v>
      </c>
      <c r="J3155" t="s">
        <v>2227</v>
      </c>
      <c r="K3155" t="s">
        <v>1809</v>
      </c>
      <c r="L3155" t="str">
        <f>HYPERLINK("https://business-monitor.ch/de/companies/728253-physio-vital-buetzberg-gmbh?utm_source=oberaargau","PROFIL ANSEHEN")</f>
        <v>PROFIL ANSEHEN</v>
      </c>
    </row>
    <row r="3156" spans="1:12" x14ac:dyDescent="0.2">
      <c r="A3156" t="s">
        <v>7821</v>
      </c>
      <c r="B3156" t="s">
        <v>7822</v>
      </c>
      <c r="C3156" t="s">
        <v>202</v>
      </c>
      <c r="E3156" t="s">
        <v>2805</v>
      </c>
      <c r="F3156">
        <v>4912</v>
      </c>
      <c r="G3156" t="s">
        <v>64</v>
      </c>
      <c r="H3156" t="s">
        <v>16</v>
      </c>
      <c r="I3156" t="s">
        <v>824</v>
      </c>
      <c r="J3156" t="s">
        <v>825</v>
      </c>
      <c r="K3156" t="s">
        <v>1809</v>
      </c>
      <c r="L3156" t="str">
        <f>HYPERLINK("https://business-monitor.ch/de/companies/537235-restaurant-tyrol-gmbh?utm_source=oberaargau","PROFIL ANSEHEN")</f>
        <v>PROFIL ANSEHEN</v>
      </c>
    </row>
    <row r="3157" spans="1:12" x14ac:dyDescent="0.2">
      <c r="A3157" t="s">
        <v>3946</v>
      </c>
      <c r="B3157" t="s">
        <v>3947</v>
      </c>
      <c r="C3157" t="s">
        <v>1812</v>
      </c>
      <c r="E3157" t="s">
        <v>3948</v>
      </c>
      <c r="F3157">
        <v>4704</v>
      </c>
      <c r="G3157" t="s">
        <v>221</v>
      </c>
      <c r="H3157" t="s">
        <v>16</v>
      </c>
      <c r="I3157" t="s">
        <v>1860</v>
      </c>
      <c r="J3157" t="s">
        <v>1861</v>
      </c>
      <c r="K3157" t="s">
        <v>1809</v>
      </c>
      <c r="L3157" t="str">
        <f>HYPERLINK("https://business-monitor.ch/de/companies/548612-coiffure-marisa-marisa-romualdi?utm_source=oberaargau","PROFIL ANSEHEN")</f>
        <v>PROFIL ANSEHEN</v>
      </c>
    </row>
    <row r="3158" spans="1:12" x14ac:dyDescent="0.2">
      <c r="A3158" t="s">
        <v>5628</v>
      </c>
      <c r="B3158" t="s">
        <v>5629</v>
      </c>
      <c r="C3158" t="s">
        <v>1812</v>
      </c>
      <c r="E3158" t="s">
        <v>5630</v>
      </c>
      <c r="F3158">
        <v>3377</v>
      </c>
      <c r="G3158" t="s">
        <v>1220</v>
      </c>
      <c r="H3158" t="s">
        <v>16</v>
      </c>
      <c r="I3158" t="s">
        <v>1458</v>
      </c>
      <c r="J3158" t="s">
        <v>1459</v>
      </c>
      <c r="K3158" t="s">
        <v>1809</v>
      </c>
      <c r="L3158" t="str">
        <f>HYPERLINK("https://business-monitor.ch/de/companies/467821-vitalwasser-haring?utm_source=oberaargau","PROFIL ANSEHEN")</f>
        <v>PROFIL ANSEHEN</v>
      </c>
    </row>
    <row r="3159" spans="1:12" x14ac:dyDescent="0.2">
      <c r="A3159" t="s">
        <v>8684</v>
      </c>
      <c r="B3159" t="s">
        <v>8685</v>
      </c>
      <c r="C3159" t="s">
        <v>1812</v>
      </c>
      <c r="E3159" t="s">
        <v>2664</v>
      </c>
      <c r="F3159">
        <v>3375</v>
      </c>
      <c r="G3159" t="s">
        <v>667</v>
      </c>
      <c r="H3159" t="s">
        <v>16</v>
      </c>
      <c r="I3159" t="s">
        <v>662</v>
      </c>
      <c r="J3159" t="s">
        <v>663</v>
      </c>
      <c r="K3159" t="s">
        <v>1809</v>
      </c>
      <c r="L3159" t="str">
        <f>HYPERLINK("https://business-monitor.ch/de/companies/411748-saladin-bedachungen?utm_source=oberaargau","PROFIL ANSEHEN")</f>
        <v>PROFIL ANSEHEN</v>
      </c>
    </row>
    <row r="3160" spans="1:12" x14ac:dyDescent="0.2">
      <c r="A3160" t="s">
        <v>10578</v>
      </c>
      <c r="B3160" t="s">
        <v>10579</v>
      </c>
      <c r="C3160" t="s">
        <v>13</v>
      </c>
      <c r="D3160" t="s">
        <v>10580</v>
      </c>
      <c r="E3160" t="s">
        <v>5283</v>
      </c>
      <c r="F3160">
        <v>4950</v>
      </c>
      <c r="G3160" t="s">
        <v>15</v>
      </c>
      <c r="H3160" t="s">
        <v>16</v>
      </c>
      <c r="I3160" t="s">
        <v>551</v>
      </c>
      <c r="J3160" t="s">
        <v>552</v>
      </c>
      <c r="K3160" t="s">
        <v>1809</v>
      </c>
      <c r="L3160" t="str">
        <f>HYPERLINK("https://business-monitor.ch/de/companies/229033-corporate-advice-and-management-services-ag?utm_source=oberaargau","PROFIL ANSEHEN")</f>
        <v>PROFIL ANSEHEN</v>
      </c>
    </row>
    <row r="3161" spans="1:12" x14ac:dyDescent="0.2">
      <c r="A3161" t="s">
        <v>6198</v>
      </c>
      <c r="B3161" t="s">
        <v>6199</v>
      </c>
      <c r="C3161" t="s">
        <v>13</v>
      </c>
      <c r="E3161" t="s">
        <v>6200</v>
      </c>
      <c r="F3161">
        <v>4934</v>
      </c>
      <c r="G3161" t="s">
        <v>670</v>
      </c>
      <c r="H3161" t="s">
        <v>16</v>
      </c>
      <c r="I3161" t="s">
        <v>824</v>
      </c>
      <c r="J3161" t="s">
        <v>825</v>
      </c>
      <c r="K3161" t="s">
        <v>1809</v>
      </c>
      <c r="L3161" t="str">
        <f>HYPERLINK("https://business-monitor.ch/de/companies/375690-buergisweyerbad-ag?utm_source=oberaargau","PROFIL ANSEHEN")</f>
        <v>PROFIL ANSEHEN</v>
      </c>
    </row>
    <row r="3162" spans="1:12" x14ac:dyDescent="0.2">
      <c r="A3162" t="s">
        <v>5075</v>
      </c>
      <c r="B3162" t="s">
        <v>5076</v>
      </c>
      <c r="C3162" t="s">
        <v>202</v>
      </c>
      <c r="E3162" t="s">
        <v>5077</v>
      </c>
      <c r="F3162">
        <v>3360</v>
      </c>
      <c r="G3162" t="s">
        <v>35</v>
      </c>
      <c r="H3162" t="s">
        <v>16</v>
      </c>
      <c r="I3162" t="s">
        <v>854</v>
      </c>
      <c r="J3162" t="s">
        <v>855</v>
      </c>
      <c r="K3162" t="s">
        <v>1809</v>
      </c>
      <c r="L3162" t="str">
        <f>HYPERLINK("https://business-monitor.ch/de/companies/423695-winistoerfer-winformatik-gmbh?utm_source=oberaargau","PROFIL ANSEHEN")</f>
        <v>PROFIL ANSEHEN</v>
      </c>
    </row>
    <row r="3163" spans="1:12" x14ac:dyDescent="0.2">
      <c r="A3163" t="s">
        <v>1873</v>
      </c>
      <c r="B3163" t="s">
        <v>1874</v>
      </c>
      <c r="C3163" t="s">
        <v>202</v>
      </c>
      <c r="E3163" t="s">
        <v>1875</v>
      </c>
      <c r="F3163">
        <v>4900</v>
      </c>
      <c r="G3163" t="s">
        <v>41</v>
      </c>
      <c r="H3163" t="s">
        <v>16</v>
      </c>
      <c r="I3163" t="s">
        <v>3493</v>
      </c>
      <c r="J3163" t="s">
        <v>3494</v>
      </c>
      <c r="K3163" t="s">
        <v>1809</v>
      </c>
      <c r="L3163" t="str">
        <f>HYPERLINK("https://business-monitor.ch/de/companies/647960-valvero-finanzberatung-gmbh?utm_source=oberaargau","PROFIL ANSEHEN")</f>
        <v>PROFIL ANSEHEN</v>
      </c>
    </row>
    <row r="3164" spans="1:12" x14ac:dyDescent="0.2">
      <c r="A3164" t="s">
        <v>2239</v>
      </c>
      <c r="B3164" t="s">
        <v>2240</v>
      </c>
      <c r="C3164" t="s">
        <v>1812</v>
      </c>
      <c r="E3164" t="s">
        <v>2241</v>
      </c>
      <c r="F3164">
        <v>4538</v>
      </c>
      <c r="G3164" t="s">
        <v>71</v>
      </c>
      <c r="H3164" t="s">
        <v>16</v>
      </c>
      <c r="I3164" t="s">
        <v>2242</v>
      </c>
      <c r="J3164" t="s">
        <v>2243</v>
      </c>
      <c r="K3164" t="s">
        <v>1809</v>
      </c>
      <c r="L3164" t="str">
        <f>HYPERLINK("https://business-monitor.ch/de/companies/436524-grille-tankrevisionen?utm_source=oberaargau","PROFIL ANSEHEN")</f>
        <v>PROFIL ANSEHEN</v>
      </c>
    </row>
    <row r="3165" spans="1:12" x14ac:dyDescent="0.2">
      <c r="A3165" t="s">
        <v>5272</v>
      </c>
      <c r="B3165" t="s">
        <v>5273</v>
      </c>
      <c r="C3165" t="s">
        <v>1812</v>
      </c>
      <c r="E3165" t="s">
        <v>311</v>
      </c>
      <c r="F3165">
        <v>4704</v>
      </c>
      <c r="G3165" t="s">
        <v>221</v>
      </c>
      <c r="H3165" t="s">
        <v>16</v>
      </c>
      <c r="I3165" t="s">
        <v>134</v>
      </c>
      <c r="J3165" t="s">
        <v>135</v>
      </c>
      <c r="K3165" t="s">
        <v>1809</v>
      </c>
      <c r="L3165" t="str">
        <f>HYPERLINK("https://business-monitor.ch/de/companies/37812-elektro-werner?utm_source=oberaargau","PROFIL ANSEHEN")</f>
        <v>PROFIL ANSEHEN</v>
      </c>
    </row>
    <row r="3166" spans="1:12" x14ac:dyDescent="0.2">
      <c r="A3166" t="s">
        <v>3645</v>
      </c>
      <c r="B3166" t="s">
        <v>3646</v>
      </c>
      <c r="C3166" t="s">
        <v>13</v>
      </c>
      <c r="E3166" t="s">
        <v>10903</v>
      </c>
      <c r="F3166">
        <v>4900</v>
      </c>
      <c r="G3166" t="s">
        <v>41</v>
      </c>
      <c r="H3166" t="s">
        <v>16</v>
      </c>
      <c r="I3166" t="s">
        <v>1267</v>
      </c>
      <c r="J3166" t="s">
        <v>1268</v>
      </c>
      <c r="K3166" t="s">
        <v>1809</v>
      </c>
      <c r="L3166" t="str">
        <f>HYPERLINK("https://business-monitor.ch/de/companies/66616-marti-menzi-ag?utm_source=oberaargau","PROFIL ANSEHEN")</f>
        <v>PROFIL ANSEHEN</v>
      </c>
    </row>
    <row r="3167" spans="1:12" x14ac:dyDescent="0.2">
      <c r="A3167" t="s">
        <v>4734</v>
      </c>
      <c r="B3167" t="s">
        <v>4735</v>
      </c>
      <c r="C3167" t="s">
        <v>202</v>
      </c>
      <c r="E3167" t="s">
        <v>12509</v>
      </c>
      <c r="F3167">
        <v>4950</v>
      </c>
      <c r="G3167" t="s">
        <v>15</v>
      </c>
      <c r="H3167" t="s">
        <v>16</v>
      </c>
      <c r="I3167" t="s">
        <v>2825</v>
      </c>
      <c r="J3167" t="s">
        <v>2826</v>
      </c>
      <c r="K3167" t="s">
        <v>1809</v>
      </c>
      <c r="L3167" t="str">
        <f>HYPERLINK("https://business-monitor.ch/de/companies/585911-chweb-gmbh?utm_source=oberaargau","PROFIL ANSEHEN")</f>
        <v>PROFIL ANSEHEN</v>
      </c>
    </row>
    <row r="3168" spans="1:12" x14ac:dyDescent="0.2">
      <c r="A3168" t="s">
        <v>9491</v>
      </c>
      <c r="B3168" t="s">
        <v>9492</v>
      </c>
      <c r="C3168" t="s">
        <v>202</v>
      </c>
      <c r="E3168" t="s">
        <v>9493</v>
      </c>
      <c r="F3168">
        <v>4950</v>
      </c>
      <c r="G3168" t="s">
        <v>15</v>
      </c>
      <c r="H3168" t="s">
        <v>16</v>
      </c>
      <c r="I3168" t="s">
        <v>1860</v>
      </c>
      <c r="J3168" t="s">
        <v>1861</v>
      </c>
      <c r="K3168" t="s">
        <v>1809</v>
      </c>
      <c r="L3168" t="str">
        <f>HYPERLINK("https://business-monitor.ch/de/companies/588709-createam-coiffure-haas-gmbh?utm_source=oberaargau","PROFIL ANSEHEN")</f>
        <v>PROFIL ANSEHEN</v>
      </c>
    </row>
    <row r="3169" spans="1:12" x14ac:dyDescent="0.2">
      <c r="A3169" t="s">
        <v>10403</v>
      </c>
      <c r="B3169" t="s">
        <v>10404</v>
      </c>
      <c r="C3169" t="s">
        <v>1812</v>
      </c>
      <c r="E3169" t="s">
        <v>12510</v>
      </c>
      <c r="F3169">
        <v>4900</v>
      </c>
      <c r="G3169" t="s">
        <v>41</v>
      </c>
      <c r="H3169" t="s">
        <v>16</v>
      </c>
      <c r="I3169" t="s">
        <v>679</v>
      </c>
      <c r="J3169" t="s">
        <v>680</v>
      </c>
      <c r="K3169" t="s">
        <v>1809</v>
      </c>
      <c r="L3169" t="str">
        <f>HYPERLINK("https://business-monitor.ch/de/companies/735318-diem-schreinerei?utm_source=oberaargau","PROFIL ANSEHEN")</f>
        <v>PROFIL ANSEHEN</v>
      </c>
    </row>
    <row r="3170" spans="1:12" x14ac:dyDescent="0.2">
      <c r="A3170" t="s">
        <v>6471</v>
      </c>
      <c r="B3170" t="s">
        <v>6472</v>
      </c>
      <c r="C3170" t="s">
        <v>1922</v>
      </c>
      <c r="E3170" t="s">
        <v>6473</v>
      </c>
      <c r="F3170">
        <v>3360</v>
      </c>
      <c r="G3170" t="s">
        <v>35</v>
      </c>
      <c r="H3170" t="s">
        <v>16</v>
      </c>
      <c r="I3170" t="s">
        <v>6474</v>
      </c>
      <c r="J3170" t="s">
        <v>6475</v>
      </c>
      <c r="K3170" t="s">
        <v>1809</v>
      </c>
      <c r="L3170" t="str">
        <f>HYPERLINK("https://business-monitor.ch/de/companies/263295-klinik-wysshoelzli-marie-sollberger-stiftung?utm_source=oberaargau","PROFIL ANSEHEN")</f>
        <v>PROFIL ANSEHEN</v>
      </c>
    </row>
    <row r="3171" spans="1:12" x14ac:dyDescent="0.2">
      <c r="A3171" t="s">
        <v>10228</v>
      </c>
      <c r="B3171" t="s">
        <v>10229</v>
      </c>
      <c r="C3171" t="s">
        <v>202</v>
      </c>
      <c r="E3171" t="s">
        <v>6847</v>
      </c>
      <c r="F3171">
        <v>3368</v>
      </c>
      <c r="G3171" t="s">
        <v>308</v>
      </c>
      <c r="H3171" t="s">
        <v>16</v>
      </c>
      <c r="I3171" t="s">
        <v>335</v>
      </c>
      <c r="J3171" t="s">
        <v>336</v>
      </c>
      <c r="K3171" t="s">
        <v>1809</v>
      </c>
      <c r="L3171" t="str">
        <f>HYPERLINK("https://business-monitor.ch/de/companies/606226-schluessfach-ch-gmbh?utm_source=oberaargau","PROFIL ANSEHEN")</f>
        <v>PROFIL ANSEHEN</v>
      </c>
    </row>
    <row r="3172" spans="1:12" x14ac:dyDescent="0.2">
      <c r="A3172" t="s">
        <v>757</v>
      </c>
      <c r="B3172" t="s">
        <v>758</v>
      </c>
      <c r="C3172" t="s">
        <v>13</v>
      </c>
      <c r="E3172" t="s">
        <v>759</v>
      </c>
      <c r="F3172">
        <v>4932</v>
      </c>
      <c r="G3172" t="s">
        <v>325</v>
      </c>
      <c r="H3172" t="s">
        <v>16</v>
      </c>
      <c r="I3172" t="s">
        <v>760</v>
      </c>
      <c r="J3172" t="s">
        <v>761</v>
      </c>
      <c r="K3172" t="s">
        <v>1809</v>
      </c>
      <c r="L3172" t="str">
        <f>HYPERLINK("https://business-monitor.ch/de/companies/133333-hans-greub-ag-lotzwil?utm_source=oberaargau","PROFIL ANSEHEN")</f>
        <v>PROFIL ANSEHEN</v>
      </c>
    </row>
    <row r="3173" spans="1:12" x14ac:dyDescent="0.2">
      <c r="A3173" t="s">
        <v>4403</v>
      </c>
      <c r="B3173" t="s">
        <v>4404</v>
      </c>
      <c r="C3173" t="s">
        <v>202</v>
      </c>
      <c r="E3173" t="s">
        <v>13423</v>
      </c>
      <c r="F3173">
        <v>3380</v>
      </c>
      <c r="G3173" t="s">
        <v>29</v>
      </c>
      <c r="H3173" t="s">
        <v>16</v>
      </c>
      <c r="I3173" t="s">
        <v>1744</v>
      </c>
      <c r="J3173" t="s">
        <v>1745</v>
      </c>
      <c r="K3173" t="s">
        <v>1809</v>
      </c>
      <c r="L3173" t="str">
        <f>HYPERLINK("https://business-monitor.ch/de/companies/941833-strahm-glastech-gmbh?utm_source=oberaargau","PROFIL ANSEHEN")</f>
        <v>PROFIL ANSEHEN</v>
      </c>
    </row>
    <row r="3174" spans="1:12" x14ac:dyDescent="0.2">
      <c r="A3174" t="s">
        <v>7783</v>
      </c>
      <c r="B3174" t="s">
        <v>7784</v>
      </c>
      <c r="C3174" t="s">
        <v>202</v>
      </c>
      <c r="E3174" t="s">
        <v>7785</v>
      </c>
      <c r="F3174">
        <v>4950</v>
      </c>
      <c r="G3174" t="s">
        <v>15</v>
      </c>
      <c r="H3174" t="s">
        <v>16</v>
      </c>
      <c r="I3174" t="s">
        <v>2440</v>
      </c>
      <c r="J3174" t="s">
        <v>2441</v>
      </c>
      <c r="K3174" t="s">
        <v>1809</v>
      </c>
      <c r="L3174" t="str">
        <f>HYPERLINK("https://business-monitor.ch/de/companies/553549-bodenbelaege-saegesser-flueckiger-gmbh?utm_source=oberaargau","PROFIL ANSEHEN")</f>
        <v>PROFIL ANSEHEN</v>
      </c>
    </row>
    <row r="3175" spans="1:12" x14ac:dyDescent="0.2">
      <c r="A3175" t="s">
        <v>7881</v>
      </c>
      <c r="B3175" t="s">
        <v>7882</v>
      </c>
      <c r="C3175" t="s">
        <v>1812</v>
      </c>
      <c r="E3175" t="s">
        <v>14363</v>
      </c>
      <c r="F3175">
        <v>3368</v>
      </c>
      <c r="G3175" t="s">
        <v>308</v>
      </c>
      <c r="H3175" t="s">
        <v>16</v>
      </c>
      <c r="I3175" t="s">
        <v>824</v>
      </c>
      <c r="J3175" t="s">
        <v>825</v>
      </c>
      <c r="K3175" t="s">
        <v>1809</v>
      </c>
      <c r="L3175" t="str">
        <f>HYPERLINK("https://business-monitor.ch/de/companies/513247-restaurant-fluegerli-daetwyler?utm_source=oberaargau","PROFIL ANSEHEN")</f>
        <v>PROFIL ANSEHEN</v>
      </c>
    </row>
    <row r="3176" spans="1:12" x14ac:dyDescent="0.2">
      <c r="A3176" t="s">
        <v>2642</v>
      </c>
      <c r="B3176" t="s">
        <v>2643</v>
      </c>
      <c r="C3176" t="s">
        <v>13</v>
      </c>
      <c r="E3176" t="s">
        <v>2644</v>
      </c>
      <c r="F3176">
        <v>4704</v>
      </c>
      <c r="G3176" t="s">
        <v>221</v>
      </c>
      <c r="H3176" t="s">
        <v>16</v>
      </c>
      <c r="I3176" t="s">
        <v>671</v>
      </c>
      <c r="J3176" t="s">
        <v>672</v>
      </c>
      <c r="K3176" t="s">
        <v>1809</v>
      </c>
      <c r="L3176" t="str">
        <f>HYPERLINK("https://business-monitor.ch/de/companies/490199-praxis-gruppe-niederbipp-ag?utm_source=oberaargau","PROFIL ANSEHEN")</f>
        <v>PROFIL ANSEHEN</v>
      </c>
    </row>
    <row r="3177" spans="1:12" x14ac:dyDescent="0.2">
      <c r="A3177" t="s">
        <v>4977</v>
      </c>
      <c r="B3177" t="s">
        <v>4978</v>
      </c>
      <c r="C3177" t="s">
        <v>202</v>
      </c>
      <c r="D3177" t="s">
        <v>2979</v>
      </c>
      <c r="E3177" t="s">
        <v>2980</v>
      </c>
      <c r="F3177">
        <v>4932</v>
      </c>
      <c r="G3177" t="s">
        <v>325</v>
      </c>
      <c r="H3177" t="s">
        <v>16</v>
      </c>
      <c r="I3177" t="s">
        <v>1267</v>
      </c>
      <c r="J3177" t="s">
        <v>1268</v>
      </c>
      <c r="K3177" t="s">
        <v>1809</v>
      </c>
      <c r="L3177" t="str">
        <f>HYPERLINK("https://business-monitor.ch/de/companies/435082-fivetool-gmbh?utm_source=oberaargau","PROFIL ANSEHEN")</f>
        <v>PROFIL ANSEHEN</v>
      </c>
    </row>
    <row r="3178" spans="1:12" x14ac:dyDescent="0.2">
      <c r="A3178" t="s">
        <v>11502</v>
      </c>
      <c r="B3178" t="s">
        <v>11503</v>
      </c>
      <c r="C3178" t="s">
        <v>1812</v>
      </c>
      <c r="E3178" t="s">
        <v>11487</v>
      </c>
      <c r="F3178">
        <v>4538</v>
      </c>
      <c r="G3178" t="s">
        <v>71</v>
      </c>
      <c r="H3178" t="s">
        <v>16</v>
      </c>
      <c r="I3178" t="s">
        <v>340</v>
      </c>
      <c r="J3178" t="s">
        <v>341</v>
      </c>
      <c r="K3178" t="s">
        <v>1809</v>
      </c>
      <c r="L3178" t="str">
        <f>HYPERLINK("https://business-monitor.ch/de/companies/1149223-kaenzig-trading?utm_source=oberaargau","PROFIL ANSEHEN")</f>
        <v>PROFIL ANSEHEN</v>
      </c>
    </row>
    <row r="3179" spans="1:12" x14ac:dyDescent="0.2">
      <c r="A3179" t="s">
        <v>6195</v>
      </c>
      <c r="B3179" t="s">
        <v>6196</v>
      </c>
      <c r="C3179" t="s">
        <v>1812</v>
      </c>
      <c r="E3179" t="s">
        <v>6197</v>
      </c>
      <c r="F3179">
        <v>4900</v>
      </c>
      <c r="G3179" t="s">
        <v>41</v>
      </c>
      <c r="H3179" t="s">
        <v>16</v>
      </c>
      <c r="I3179" t="s">
        <v>733</v>
      </c>
      <c r="J3179" t="s">
        <v>734</v>
      </c>
      <c r="K3179" t="s">
        <v>1809</v>
      </c>
      <c r="L3179" t="str">
        <f>HYPERLINK("https://business-monitor.ch/de/companies/376222-garage-dreilinden-marc-leuenberger?utm_source=oberaargau","PROFIL ANSEHEN")</f>
        <v>PROFIL ANSEHEN</v>
      </c>
    </row>
    <row r="3180" spans="1:12" x14ac:dyDescent="0.2">
      <c r="A3180" t="s">
        <v>12149</v>
      </c>
      <c r="B3180" t="s">
        <v>12150</v>
      </c>
      <c r="C3180" t="s">
        <v>202</v>
      </c>
      <c r="D3180" t="s">
        <v>12151</v>
      </c>
      <c r="E3180" t="s">
        <v>6568</v>
      </c>
      <c r="F3180">
        <v>3360</v>
      </c>
      <c r="G3180" t="s">
        <v>35</v>
      </c>
      <c r="H3180" t="s">
        <v>16</v>
      </c>
      <c r="I3180" t="s">
        <v>182</v>
      </c>
      <c r="J3180" t="s">
        <v>183</v>
      </c>
      <c r="K3180" t="s">
        <v>1809</v>
      </c>
      <c r="L3180" t="str">
        <f>HYPERLINK("https://business-monitor.ch/de/companies/1182246-reinhard-holding-gmbh?utm_source=oberaargau","PROFIL ANSEHEN")</f>
        <v>PROFIL ANSEHEN</v>
      </c>
    </row>
    <row r="3181" spans="1:12" x14ac:dyDescent="0.2">
      <c r="A3181" t="s">
        <v>3683</v>
      </c>
      <c r="B3181" t="s">
        <v>3684</v>
      </c>
      <c r="C3181" t="s">
        <v>13</v>
      </c>
      <c r="E3181" t="s">
        <v>3685</v>
      </c>
      <c r="F3181">
        <v>4922</v>
      </c>
      <c r="G3181" t="s">
        <v>99</v>
      </c>
      <c r="H3181" t="s">
        <v>16</v>
      </c>
      <c r="I3181" t="s">
        <v>36</v>
      </c>
      <c r="J3181" t="s">
        <v>37</v>
      </c>
      <c r="K3181" t="s">
        <v>1809</v>
      </c>
      <c r="L3181" t="str">
        <f>HYPERLINK("https://business-monitor.ch/de/companies/29913-hofmann-nutrition-ag?utm_source=oberaargau","PROFIL ANSEHEN")</f>
        <v>PROFIL ANSEHEN</v>
      </c>
    </row>
    <row r="3182" spans="1:12" x14ac:dyDescent="0.2">
      <c r="A3182" t="s">
        <v>9015</v>
      </c>
      <c r="B3182" t="s">
        <v>9016</v>
      </c>
      <c r="C3182" t="s">
        <v>13</v>
      </c>
      <c r="E3182" t="s">
        <v>4080</v>
      </c>
      <c r="F3182">
        <v>3360</v>
      </c>
      <c r="G3182" t="s">
        <v>35</v>
      </c>
      <c r="H3182" t="s">
        <v>16</v>
      </c>
      <c r="I3182" t="s">
        <v>917</v>
      </c>
      <c r="J3182" t="s">
        <v>918</v>
      </c>
      <c r="K3182" t="s">
        <v>1809</v>
      </c>
      <c r="L3182" t="str">
        <f>HYPERLINK("https://business-monitor.ch/de/companies/226974-planergie-ag?utm_source=oberaargau","PROFIL ANSEHEN")</f>
        <v>PROFIL ANSEHEN</v>
      </c>
    </row>
    <row r="3183" spans="1:12" x14ac:dyDescent="0.2">
      <c r="A3183" t="s">
        <v>2530</v>
      </c>
      <c r="B3183" t="s">
        <v>2531</v>
      </c>
      <c r="C3183" t="s">
        <v>202</v>
      </c>
      <c r="E3183" t="s">
        <v>2532</v>
      </c>
      <c r="F3183">
        <v>4934</v>
      </c>
      <c r="G3183" t="s">
        <v>670</v>
      </c>
      <c r="H3183" t="s">
        <v>16</v>
      </c>
      <c r="I3183" t="s">
        <v>551</v>
      </c>
      <c r="J3183" t="s">
        <v>552</v>
      </c>
      <c r="K3183" t="s">
        <v>1809</v>
      </c>
      <c r="L3183" t="str">
        <f>HYPERLINK("https://business-monitor.ch/de/companies/524139-attente-gmbh?utm_source=oberaargau","PROFIL ANSEHEN")</f>
        <v>PROFIL ANSEHEN</v>
      </c>
    </row>
    <row r="3184" spans="1:12" x14ac:dyDescent="0.2">
      <c r="A3184" t="s">
        <v>7863</v>
      </c>
      <c r="B3184" t="s">
        <v>7864</v>
      </c>
      <c r="C3184" t="s">
        <v>1812</v>
      </c>
      <c r="E3184" t="s">
        <v>7865</v>
      </c>
      <c r="F3184">
        <v>3380</v>
      </c>
      <c r="G3184" t="s">
        <v>29</v>
      </c>
      <c r="H3184" t="s">
        <v>16</v>
      </c>
      <c r="I3184" t="s">
        <v>1860</v>
      </c>
      <c r="J3184" t="s">
        <v>1861</v>
      </c>
      <c r="K3184" t="s">
        <v>1809</v>
      </c>
      <c r="L3184" t="str">
        <f>HYPERLINK("https://business-monitor.ch/de/companies/423595-stil-coiffure-claudia-faieta?utm_source=oberaargau","PROFIL ANSEHEN")</f>
        <v>PROFIL ANSEHEN</v>
      </c>
    </row>
    <row r="3185" spans="1:12" x14ac:dyDescent="0.2">
      <c r="A3185" t="s">
        <v>10168</v>
      </c>
      <c r="B3185" t="s">
        <v>10169</v>
      </c>
      <c r="C3185" t="s">
        <v>13</v>
      </c>
      <c r="E3185" t="s">
        <v>1084</v>
      </c>
      <c r="F3185">
        <v>4900</v>
      </c>
      <c r="G3185" t="s">
        <v>41</v>
      </c>
      <c r="H3185" t="s">
        <v>16</v>
      </c>
      <c r="I3185" t="s">
        <v>838</v>
      </c>
      <c r="J3185" t="s">
        <v>839</v>
      </c>
      <c r="K3185" t="s">
        <v>1809</v>
      </c>
      <c r="L3185" t="str">
        <f>HYPERLINK("https://business-monitor.ch/de/companies/644990-bucher-mode-ag?utm_source=oberaargau","PROFIL ANSEHEN")</f>
        <v>PROFIL ANSEHEN</v>
      </c>
    </row>
    <row r="3186" spans="1:12" x14ac:dyDescent="0.2">
      <c r="A3186" t="s">
        <v>4215</v>
      </c>
      <c r="B3186" t="s">
        <v>4216</v>
      </c>
      <c r="C3186" t="s">
        <v>1812</v>
      </c>
      <c r="E3186" t="s">
        <v>4217</v>
      </c>
      <c r="F3186">
        <v>4934</v>
      </c>
      <c r="G3186" t="s">
        <v>670</v>
      </c>
      <c r="H3186" t="s">
        <v>16</v>
      </c>
      <c r="I3186" t="s">
        <v>642</v>
      </c>
      <c r="J3186" t="s">
        <v>643</v>
      </c>
      <c r="K3186" t="s">
        <v>1809</v>
      </c>
      <c r="L3186" t="str">
        <f>HYPERLINK("https://business-monitor.ch/de/companies/998915-janik-leuenberger?utm_source=oberaargau","PROFIL ANSEHEN")</f>
        <v>PROFIL ANSEHEN</v>
      </c>
    </row>
    <row r="3187" spans="1:12" x14ac:dyDescent="0.2">
      <c r="A3187" t="s">
        <v>8444</v>
      </c>
      <c r="B3187" t="s">
        <v>8445</v>
      </c>
      <c r="C3187" t="s">
        <v>2010</v>
      </c>
      <c r="E3187" t="s">
        <v>11781</v>
      </c>
      <c r="F3187">
        <v>4900</v>
      </c>
      <c r="G3187" t="s">
        <v>41</v>
      </c>
      <c r="H3187" t="s">
        <v>16</v>
      </c>
      <c r="I3187" t="s">
        <v>2842</v>
      </c>
      <c r="J3187" t="s">
        <v>2843</v>
      </c>
      <c r="K3187" t="s">
        <v>1809</v>
      </c>
      <c r="L3187" t="str">
        <f>HYPERLINK("https://business-monitor.ch/de/companies/639807-philip-schaller-partner?utm_source=oberaargau","PROFIL ANSEHEN")</f>
        <v>PROFIL ANSEHEN</v>
      </c>
    </row>
    <row r="3188" spans="1:12" x14ac:dyDescent="0.2">
      <c r="A3188" t="s">
        <v>4966</v>
      </c>
      <c r="B3188" t="s">
        <v>4967</v>
      </c>
      <c r="C3188" t="s">
        <v>1812</v>
      </c>
      <c r="D3188" t="s">
        <v>4968</v>
      </c>
      <c r="F3188">
        <v>4955</v>
      </c>
      <c r="G3188" t="s">
        <v>684</v>
      </c>
      <c r="H3188" t="s">
        <v>16</v>
      </c>
      <c r="I3188" t="s">
        <v>2619</v>
      </c>
      <c r="J3188" t="s">
        <v>2620</v>
      </c>
      <c r="K3188" t="s">
        <v>1809</v>
      </c>
      <c r="L3188" t="str">
        <f>HYPERLINK("https://business-monitor.ch/de/companies/135531-walter-mathys-zaugg?utm_source=oberaargau","PROFIL ANSEHEN")</f>
        <v>PROFIL ANSEHEN</v>
      </c>
    </row>
    <row r="3189" spans="1:12" x14ac:dyDescent="0.2">
      <c r="A3189" t="s">
        <v>4327</v>
      </c>
      <c r="B3189" t="s">
        <v>4328</v>
      </c>
      <c r="C3189" t="s">
        <v>202</v>
      </c>
      <c r="E3189" t="s">
        <v>4329</v>
      </c>
      <c r="F3189">
        <v>3362</v>
      </c>
      <c r="G3189" t="s">
        <v>47</v>
      </c>
      <c r="H3189" t="s">
        <v>16</v>
      </c>
      <c r="I3189" t="s">
        <v>157</v>
      </c>
      <c r="J3189" t="s">
        <v>158</v>
      </c>
      <c r="K3189" t="s">
        <v>1809</v>
      </c>
      <c r="L3189" t="str">
        <f>HYPERLINK("https://business-monitor.ch/de/companies/966798-immo-zbinden-gmbh?utm_source=oberaargau","PROFIL ANSEHEN")</f>
        <v>PROFIL ANSEHEN</v>
      </c>
    </row>
    <row r="3190" spans="1:12" x14ac:dyDescent="0.2">
      <c r="A3190" t="s">
        <v>4952</v>
      </c>
      <c r="B3190" t="s">
        <v>4953</v>
      </c>
      <c r="C3190" t="s">
        <v>13</v>
      </c>
      <c r="E3190" t="s">
        <v>4954</v>
      </c>
      <c r="F3190">
        <v>4912</v>
      </c>
      <c r="G3190" t="s">
        <v>64</v>
      </c>
      <c r="H3190" t="s">
        <v>16</v>
      </c>
      <c r="I3190" t="s">
        <v>642</v>
      </c>
      <c r="J3190" t="s">
        <v>643</v>
      </c>
      <c r="K3190" t="s">
        <v>1809</v>
      </c>
      <c r="L3190" t="str">
        <f>HYPERLINK("https://business-monitor.ch/de/companies/304851-auto-center-h-r-flueckiger-ag?utm_source=oberaargau","PROFIL ANSEHEN")</f>
        <v>PROFIL ANSEHEN</v>
      </c>
    </row>
    <row r="3191" spans="1:12" x14ac:dyDescent="0.2">
      <c r="A3191" t="s">
        <v>6116</v>
      </c>
      <c r="B3191" t="s">
        <v>6117</v>
      </c>
      <c r="C3191" t="s">
        <v>202</v>
      </c>
      <c r="E3191" t="s">
        <v>6118</v>
      </c>
      <c r="F3191">
        <v>4950</v>
      </c>
      <c r="G3191" t="s">
        <v>15</v>
      </c>
      <c r="H3191" t="s">
        <v>16</v>
      </c>
      <c r="I3191" t="s">
        <v>624</v>
      </c>
      <c r="J3191" t="s">
        <v>625</v>
      </c>
      <c r="K3191" t="s">
        <v>1809</v>
      </c>
      <c r="L3191" t="str">
        <f>HYPERLINK("https://business-monitor.ch/de/companies/402595-mobile-zimmerei-gmbh?utm_source=oberaargau","PROFIL ANSEHEN")</f>
        <v>PROFIL ANSEHEN</v>
      </c>
    </row>
    <row r="3192" spans="1:12" x14ac:dyDescent="0.2">
      <c r="A3192" t="s">
        <v>12152</v>
      </c>
      <c r="B3192" t="s">
        <v>12153</v>
      </c>
      <c r="C3192" t="s">
        <v>1812</v>
      </c>
      <c r="E3192" t="s">
        <v>984</v>
      </c>
      <c r="F3192">
        <v>4900</v>
      </c>
      <c r="G3192" t="s">
        <v>41</v>
      </c>
      <c r="H3192" t="s">
        <v>16</v>
      </c>
      <c r="I3192" t="s">
        <v>642</v>
      </c>
      <c r="J3192" t="s">
        <v>643</v>
      </c>
      <c r="K3192" t="s">
        <v>1809</v>
      </c>
      <c r="L3192" t="str">
        <f>HYPERLINK("https://business-monitor.ch/de/companies/1182341-reifen-schweiz-maxim-koval?utm_source=oberaargau","PROFIL ANSEHEN")</f>
        <v>PROFIL ANSEHEN</v>
      </c>
    </row>
    <row r="3193" spans="1:12" x14ac:dyDescent="0.2">
      <c r="A3193" t="s">
        <v>12154</v>
      </c>
      <c r="B3193" t="s">
        <v>12155</v>
      </c>
      <c r="C3193" t="s">
        <v>1812</v>
      </c>
      <c r="E3193" t="s">
        <v>5286</v>
      </c>
      <c r="F3193">
        <v>4932</v>
      </c>
      <c r="G3193" t="s">
        <v>325</v>
      </c>
      <c r="H3193" t="s">
        <v>16</v>
      </c>
      <c r="I3193" t="s">
        <v>642</v>
      </c>
      <c r="J3193" t="s">
        <v>643</v>
      </c>
      <c r="K3193" t="s">
        <v>1809</v>
      </c>
      <c r="L3193" t="str">
        <f>HYPERLINK("https://business-monitor.ch/de/companies/1182396-empire-garage-by-weibel?utm_source=oberaargau","PROFIL ANSEHEN")</f>
        <v>PROFIL ANSEHEN</v>
      </c>
    </row>
    <row r="3194" spans="1:12" x14ac:dyDescent="0.2">
      <c r="A3194" t="s">
        <v>9532</v>
      </c>
      <c r="B3194" t="s">
        <v>9533</v>
      </c>
      <c r="C3194" t="s">
        <v>202</v>
      </c>
      <c r="E3194" t="s">
        <v>9534</v>
      </c>
      <c r="F3194">
        <v>3368</v>
      </c>
      <c r="G3194" t="s">
        <v>308</v>
      </c>
      <c r="H3194" t="s">
        <v>16</v>
      </c>
      <c r="I3194" t="s">
        <v>1409</v>
      </c>
      <c r="J3194" t="s">
        <v>1410</v>
      </c>
      <c r="K3194" t="s">
        <v>1809</v>
      </c>
      <c r="L3194" t="str">
        <f>HYPERLINK("https://business-monitor.ch/de/companies/702891-kaesespycher-gmbh?utm_source=oberaargau","PROFIL ANSEHEN")</f>
        <v>PROFIL ANSEHEN</v>
      </c>
    </row>
    <row r="3195" spans="1:12" x14ac:dyDescent="0.2">
      <c r="A3195" t="s">
        <v>8856</v>
      </c>
      <c r="B3195" t="s">
        <v>8857</v>
      </c>
      <c r="C3195" t="s">
        <v>1812</v>
      </c>
      <c r="E3195" t="s">
        <v>8858</v>
      </c>
      <c r="F3195">
        <v>4912</v>
      </c>
      <c r="G3195" t="s">
        <v>64</v>
      </c>
      <c r="H3195" t="s">
        <v>16</v>
      </c>
      <c r="I3195" t="s">
        <v>596</v>
      </c>
      <c r="J3195" t="s">
        <v>597</v>
      </c>
      <c r="K3195" t="s">
        <v>1809</v>
      </c>
      <c r="L3195" t="str">
        <f>HYPERLINK("https://business-monitor.ch/de/companies/319943-troesch-ulrich?utm_source=oberaargau","PROFIL ANSEHEN")</f>
        <v>PROFIL ANSEHEN</v>
      </c>
    </row>
    <row r="3196" spans="1:12" x14ac:dyDescent="0.2">
      <c r="A3196" t="s">
        <v>3740</v>
      </c>
      <c r="B3196" t="s">
        <v>3741</v>
      </c>
      <c r="C3196" t="s">
        <v>202</v>
      </c>
      <c r="E3196" t="s">
        <v>248</v>
      </c>
      <c r="F3196">
        <v>4900</v>
      </c>
      <c r="G3196" t="s">
        <v>41</v>
      </c>
      <c r="H3196" t="s">
        <v>16</v>
      </c>
      <c r="I3196" t="s">
        <v>2226</v>
      </c>
      <c r="J3196" t="s">
        <v>2227</v>
      </c>
      <c r="K3196" t="s">
        <v>1809</v>
      </c>
      <c r="L3196" t="str">
        <f>HYPERLINK("https://business-monitor.ch/de/companies/1037786-physio-langenthal-gmbh?utm_source=oberaargau","PROFIL ANSEHEN")</f>
        <v>PROFIL ANSEHEN</v>
      </c>
    </row>
    <row r="3197" spans="1:12" x14ac:dyDescent="0.2">
      <c r="A3197" t="s">
        <v>10935</v>
      </c>
      <c r="B3197" t="s">
        <v>10936</v>
      </c>
      <c r="C3197" t="s">
        <v>1812</v>
      </c>
      <c r="E3197" t="s">
        <v>10937</v>
      </c>
      <c r="F3197">
        <v>4950</v>
      </c>
      <c r="G3197" t="s">
        <v>15</v>
      </c>
      <c r="H3197" t="s">
        <v>16</v>
      </c>
      <c r="I3197" t="s">
        <v>2050</v>
      </c>
      <c r="J3197" t="s">
        <v>2051</v>
      </c>
      <c r="K3197" t="s">
        <v>1809</v>
      </c>
      <c r="L3197" t="str">
        <f>HYPERLINK("https://business-monitor.ch/de/companies/1099186-fuchsart-irene-fuchs-dutly?utm_source=oberaargau","PROFIL ANSEHEN")</f>
        <v>PROFIL ANSEHEN</v>
      </c>
    </row>
    <row r="3198" spans="1:12" x14ac:dyDescent="0.2">
      <c r="A3198" t="s">
        <v>7866</v>
      </c>
      <c r="B3198" t="s">
        <v>5229</v>
      </c>
      <c r="C3198" t="s">
        <v>2178</v>
      </c>
      <c r="D3198" t="s">
        <v>7867</v>
      </c>
      <c r="E3198" t="s">
        <v>7868</v>
      </c>
      <c r="F3198">
        <v>4917</v>
      </c>
      <c r="G3198" t="s">
        <v>376</v>
      </c>
      <c r="H3198" t="s">
        <v>16</v>
      </c>
      <c r="I3198" t="s">
        <v>260</v>
      </c>
      <c r="J3198" t="s">
        <v>261</v>
      </c>
      <c r="K3198" t="s">
        <v>1809</v>
      </c>
      <c r="L3198" t="str">
        <f>HYPERLINK("https://business-monitor.ch/de/companies/490530-haldimann-schaerer-ag?utm_source=oberaargau","PROFIL ANSEHEN")</f>
        <v>PROFIL ANSEHEN</v>
      </c>
    </row>
    <row r="3199" spans="1:12" x14ac:dyDescent="0.2">
      <c r="A3199" t="s">
        <v>8119</v>
      </c>
      <c r="B3199" t="s">
        <v>8120</v>
      </c>
      <c r="C3199" t="s">
        <v>1812</v>
      </c>
      <c r="E3199" t="s">
        <v>8121</v>
      </c>
      <c r="F3199">
        <v>4704</v>
      </c>
      <c r="G3199" t="s">
        <v>221</v>
      </c>
      <c r="H3199" t="s">
        <v>16</v>
      </c>
      <c r="I3199" t="s">
        <v>433</v>
      </c>
      <c r="J3199" t="s">
        <v>434</v>
      </c>
      <c r="K3199" t="s">
        <v>1809</v>
      </c>
      <c r="L3199" t="str">
        <f>HYPERLINK("https://business-monitor.ch/de/companies/479391-wrevents-walter-rohrbach?utm_source=oberaargau","PROFIL ANSEHEN")</f>
        <v>PROFIL ANSEHEN</v>
      </c>
    </row>
    <row r="3200" spans="1:12" x14ac:dyDescent="0.2">
      <c r="A3200" t="s">
        <v>2738</v>
      </c>
      <c r="B3200" t="s">
        <v>2739</v>
      </c>
      <c r="C3200" t="s">
        <v>13</v>
      </c>
      <c r="E3200" t="s">
        <v>2740</v>
      </c>
      <c r="F3200">
        <v>4917</v>
      </c>
      <c r="G3200" t="s">
        <v>376</v>
      </c>
      <c r="H3200" t="s">
        <v>16</v>
      </c>
      <c r="I3200" t="s">
        <v>59</v>
      </c>
      <c r="J3200" t="s">
        <v>60</v>
      </c>
      <c r="K3200" t="s">
        <v>1809</v>
      </c>
      <c r="L3200" t="str">
        <f>HYPERLINK("https://business-monitor.ch/de/companies/453411-gasthof-loewen-melchnau-ag?utm_source=oberaargau","PROFIL ANSEHEN")</f>
        <v>PROFIL ANSEHEN</v>
      </c>
    </row>
    <row r="3201" spans="1:12" x14ac:dyDescent="0.2">
      <c r="A3201" t="s">
        <v>9617</v>
      </c>
      <c r="B3201" t="s">
        <v>9618</v>
      </c>
      <c r="C3201" t="s">
        <v>13</v>
      </c>
      <c r="E3201" t="s">
        <v>9619</v>
      </c>
      <c r="F3201">
        <v>3360</v>
      </c>
      <c r="G3201" t="s">
        <v>35</v>
      </c>
      <c r="H3201" t="s">
        <v>16</v>
      </c>
      <c r="I3201" t="s">
        <v>86</v>
      </c>
      <c r="J3201" t="s">
        <v>87</v>
      </c>
      <c r="K3201" t="s">
        <v>1809</v>
      </c>
      <c r="L3201" t="str">
        <f>HYPERLINK("https://business-monitor.ch/de/companies/576688-r-roethlisberger-ag?utm_source=oberaargau","PROFIL ANSEHEN")</f>
        <v>PROFIL ANSEHEN</v>
      </c>
    </row>
    <row r="3202" spans="1:12" x14ac:dyDescent="0.2">
      <c r="A3202" t="s">
        <v>4843</v>
      </c>
      <c r="B3202" t="s">
        <v>4844</v>
      </c>
      <c r="C3202" t="s">
        <v>1812</v>
      </c>
      <c r="E3202" t="s">
        <v>4845</v>
      </c>
      <c r="F3202">
        <v>4704</v>
      </c>
      <c r="G3202" t="s">
        <v>221</v>
      </c>
      <c r="H3202" t="s">
        <v>16</v>
      </c>
      <c r="I3202" t="s">
        <v>1855</v>
      </c>
      <c r="J3202" t="s">
        <v>1856</v>
      </c>
      <c r="K3202" t="s">
        <v>1809</v>
      </c>
      <c r="L3202" t="str">
        <f>HYPERLINK("https://business-monitor.ch/de/companies/541871-di-falco-inka-nails-feet-more?utm_source=oberaargau","PROFIL ANSEHEN")</f>
        <v>PROFIL ANSEHEN</v>
      </c>
    </row>
    <row r="3203" spans="1:12" x14ac:dyDescent="0.2">
      <c r="A3203" t="s">
        <v>3852</v>
      </c>
      <c r="B3203" t="s">
        <v>3853</v>
      </c>
      <c r="C3203" t="s">
        <v>2178</v>
      </c>
      <c r="E3203" t="s">
        <v>3854</v>
      </c>
      <c r="F3203">
        <v>4923</v>
      </c>
      <c r="G3203" t="s">
        <v>732</v>
      </c>
      <c r="H3203" t="s">
        <v>16</v>
      </c>
      <c r="I3203" t="s">
        <v>167</v>
      </c>
      <c r="J3203" t="s">
        <v>168</v>
      </c>
      <c r="K3203" t="s">
        <v>1809</v>
      </c>
      <c r="L3203" t="str">
        <f>HYPERLINK("https://business-monitor.ch/de/companies/587530-meier-jaeggi-ag-zofingen-zweigniederlassung-wynau?utm_source=oberaargau","PROFIL ANSEHEN")</f>
        <v>PROFIL ANSEHEN</v>
      </c>
    </row>
    <row r="3204" spans="1:12" x14ac:dyDescent="0.2">
      <c r="A3204" t="s">
        <v>9558</v>
      </c>
      <c r="B3204" t="s">
        <v>9559</v>
      </c>
      <c r="C3204" t="s">
        <v>1812</v>
      </c>
      <c r="E3204" t="s">
        <v>7651</v>
      </c>
      <c r="F3204">
        <v>3374</v>
      </c>
      <c r="G3204" t="s">
        <v>894</v>
      </c>
      <c r="H3204" t="s">
        <v>16</v>
      </c>
      <c r="I3204" t="s">
        <v>4105</v>
      </c>
      <c r="J3204" t="s">
        <v>4106</v>
      </c>
      <c r="K3204" t="s">
        <v>1809</v>
      </c>
      <c r="L3204" t="str">
        <f>HYPERLINK("https://business-monitor.ch/de/companies/628316-firsthelp-straubhaar?utm_source=oberaargau","PROFIL ANSEHEN")</f>
        <v>PROFIL ANSEHEN</v>
      </c>
    </row>
    <row r="3205" spans="1:12" x14ac:dyDescent="0.2">
      <c r="A3205" t="s">
        <v>4834</v>
      </c>
      <c r="B3205" t="s">
        <v>4835</v>
      </c>
      <c r="C3205" t="s">
        <v>202</v>
      </c>
      <c r="D3205" t="s">
        <v>4836</v>
      </c>
      <c r="E3205" t="s">
        <v>1670</v>
      </c>
      <c r="F3205">
        <v>4704</v>
      </c>
      <c r="G3205" t="s">
        <v>221</v>
      </c>
      <c r="H3205" t="s">
        <v>16</v>
      </c>
      <c r="I3205" t="s">
        <v>186</v>
      </c>
      <c r="J3205" t="s">
        <v>187</v>
      </c>
      <c r="K3205" t="s">
        <v>1809</v>
      </c>
      <c r="L3205" t="str">
        <f>HYPERLINK("https://business-monitor.ch/de/companies/544459-aka-holding-gmbh?utm_source=oberaargau","PROFIL ANSEHEN")</f>
        <v>PROFIL ANSEHEN</v>
      </c>
    </row>
    <row r="3206" spans="1:12" x14ac:dyDescent="0.2">
      <c r="A3206" t="s">
        <v>4747</v>
      </c>
      <c r="B3206" t="s">
        <v>4748</v>
      </c>
      <c r="C3206" t="s">
        <v>1812</v>
      </c>
      <c r="E3206" t="s">
        <v>4749</v>
      </c>
      <c r="F3206">
        <v>4537</v>
      </c>
      <c r="G3206" t="s">
        <v>113</v>
      </c>
      <c r="H3206" t="s">
        <v>16</v>
      </c>
      <c r="I3206" t="s">
        <v>497</v>
      </c>
      <c r="J3206" t="s">
        <v>498</v>
      </c>
      <c r="K3206" t="s">
        <v>1809</v>
      </c>
      <c r="L3206" t="str">
        <f>HYPERLINK("https://business-monitor.ch/de/companies/579369-freirum-raess?utm_source=oberaargau","PROFIL ANSEHEN")</f>
        <v>PROFIL ANSEHEN</v>
      </c>
    </row>
    <row r="3207" spans="1:12" x14ac:dyDescent="0.2">
      <c r="A3207" t="s">
        <v>5848</v>
      </c>
      <c r="B3207" t="s">
        <v>5849</v>
      </c>
      <c r="C3207" t="s">
        <v>202</v>
      </c>
      <c r="E3207" t="s">
        <v>5850</v>
      </c>
      <c r="F3207">
        <v>3373</v>
      </c>
      <c r="G3207" t="s">
        <v>1640</v>
      </c>
      <c r="H3207" t="s">
        <v>16</v>
      </c>
      <c r="I3207" t="s">
        <v>624</v>
      </c>
      <c r="J3207" t="s">
        <v>625</v>
      </c>
      <c r="K3207" t="s">
        <v>1809</v>
      </c>
      <c r="L3207" t="str">
        <f>HYPERLINK("https://business-monitor.ch/de/companies/512467-hosner-holzbau-gmbh?utm_source=oberaargau","PROFIL ANSEHEN")</f>
        <v>PROFIL ANSEHEN</v>
      </c>
    </row>
    <row r="3208" spans="1:12" x14ac:dyDescent="0.2">
      <c r="A3208" t="s">
        <v>5154</v>
      </c>
      <c r="B3208" t="s">
        <v>5155</v>
      </c>
      <c r="C3208" t="s">
        <v>1812</v>
      </c>
      <c r="E3208" t="s">
        <v>5156</v>
      </c>
      <c r="F3208">
        <v>3373</v>
      </c>
      <c r="G3208" t="s">
        <v>1640</v>
      </c>
      <c r="H3208" t="s">
        <v>16</v>
      </c>
      <c r="I3208" t="s">
        <v>1401</v>
      </c>
      <c r="J3208" t="s">
        <v>1402</v>
      </c>
      <c r="K3208" t="s">
        <v>1809</v>
      </c>
      <c r="L3208" t="str">
        <f>HYPERLINK("https://business-monitor.ch/de/companies/506195-blumen-gruetter-roethenbach?utm_source=oberaargau","PROFIL ANSEHEN")</f>
        <v>PROFIL ANSEHEN</v>
      </c>
    </row>
    <row r="3209" spans="1:12" x14ac:dyDescent="0.2">
      <c r="A3209" t="s">
        <v>11515</v>
      </c>
      <c r="B3209" t="s">
        <v>11516</v>
      </c>
      <c r="C3209" t="s">
        <v>202</v>
      </c>
      <c r="E3209" t="s">
        <v>5754</v>
      </c>
      <c r="F3209">
        <v>4900</v>
      </c>
      <c r="G3209" t="s">
        <v>41</v>
      </c>
      <c r="H3209" t="s">
        <v>16</v>
      </c>
      <c r="I3209" t="s">
        <v>551</v>
      </c>
      <c r="J3209" t="s">
        <v>552</v>
      </c>
      <c r="K3209" t="s">
        <v>1809</v>
      </c>
      <c r="L3209" t="str">
        <f>HYPERLINK("https://business-monitor.ch/de/companies/1145515-transformwerkstatt-consulting-gmbh?utm_source=oberaargau","PROFIL ANSEHEN")</f>
        <v>PROFIL ANSEHEN</v>
      </c>
    </row>
    <row r="3210" spans="1:12" x14ac:dyDescent="0.2">
      <c r="A3210" t="s">
        <v>4662</v>
      </c>
      <c r="B3210" t="s">
        <v>4663</v>
      </c>
      <c r="C3210" t="s">
        <v>202</v>
      </c>
      <c r="E3210" t="s">
        <v>4664</v>
      </c>
      <c r="F3210">
        <v>4900</v>
      </c>
      <c r="G3210" t="s">
        <v>41</v>
      </c>
      <c r="H3210" t="s">
        <v>16</v>
      </c>
      <c r="I3210" t="s">
        <v>551</v>
      </c>
      <c r="J3210" t="s">
        <v>552</v>
      </c>
      <c r="K3210" t="s">
        <v>1809</v>
      </c>
      <c r="L3210" t="str">
        <f>HYPERLINK("https://business-monitor.ch/de/companies/617327-sybille-geiser-coaching-gmbh?utm_source=oberaargau","PROFIL ANSEHEN")</f>
        <v>PROFIL ANSEHEN</v>
      </c>
    </row>
    <row r="3211" spans="1:12" x14ac:dyDescent="0.2">
      <c r="A3211" t="s">
        <v>7959</v>
      </c>
      <c r="B3211" t="s">
        <v>7960</v>
      </c>
      <c r="C3211" t="s">
        <v>1812</v>
      </c>
      <c r="E3211" t="s">
        <v>7961</v>
      </c>
      <c r="F3211">
        <v>4912</v>
      </c>
      <c r="G3211" t="s">
        <v>64</v>
      </c>
      <c r="H3211" t="s">
        <v>16</v>
      </c>
      <c r="I3211" t="s">
        <v>679</v>
      </c>
      <c r="J3211" t="s">
        <v>680</v>
      </c>
      <c r="K3211" t="s">
        <v>1809</v>
      </c>
      <c r="L3211" t="str">
        <f>HYPERLINK("https://business-monitor.ch/de/companies/509093-rentsch-schreinerei?utm_source=oberaargau","PROFIL ANSEHEN")</f>
        <v>PROFIL ANSEHEN</v>
      </c>
    </row>
    <row r="3212" spans="1:12" x14ac:dyDescent="0.2">
      <c r="A3212" t="s">
        <v>10525</v>
      </c>
      <c r="B3212" t="s">
        <v>10526</v>
      </c>
      <c r="C3212" t="s">
        <v>2178</v>
      </c>
      <c r="D3212" t="s">
        <v>10527</v>
      </c>
      <c r="E3212" t="s">
        <v>10528</v>
      </c>
      <c r="F3212">
        <v>4900</v>
      </c>
      <c r="G3212" t="s">
        <v>41</v>
      </c>
      <c r="H3212" t="s">
        <v>16</v>
      </c>
      <c r="I3212" t="s">
        <v>1350</v>
      </c>
      <c r="J3212" t="s">
        <v>1351</v>
      </c>
      <c r="K3212" t="s">
        <v>1809</v>
      </c>
      <c r="L3212" t="str">
        <f>HYPERLINK("https://business-monitor.ch/de/companies/1075992-strub-bau-ag?utm_source=oberaargau","PROFIL ANSEHEN")</f>
        <v>PROFIL ANSEHEN</v>
      </c>
    </row>
    <row r="3213" spans="1:12" x14ac:dyDescent="0.2">
      <c r="A3213" t="s">
        <v>4723</v>
      </c>
      <c r="B3213" t="s">
        <v>4724</v>
      </c>
      <c r="C3213" t="s">
        <v>202</v>
      </c>
      <c r="E3213" t="s">
        <v>573</v>
      </c>
      <c r="F3213">
        <v>4912</v>
      </c>
      <c r="G3213" t="s">
        <v>64</v>
      </c>
      <c r="H3213" t="s">
        <v>16</v>
      </c>
      <c r="I3213" t="s">
        <v>1097</v>
      </c>
      <c r="J3213" t="s">
        <v>1098</v>
      </c>
      <c r="K3213" t="s">
        <v>1809</v>
      </c>
      <c r="L3213" t="str">
        <f>HYPERLINK("https://business-monitor.ch/de/companies/591056-tombotto-gmbh?utm_source=oberaargau","PROFIL ANSEHEN")</f>
        <v>PROFIL ANSEHEN</v>
      </c>
    </row>
    <row r="3214" spans="1:12" x14ac:dyDescent="0.2">
      <c r="A3214" t="s">
        <v>3970</v>
      </c>
      <c r="B3214" t="s">
        <v>3971</v>
      </c>
      <c r="C3214" t="s">
        <v>13</v>
      </c>
      <c r="E3214" t="s">
        <v>3972</v>
      </c>
      <c r="F3214">
        <v>4912</v>
      </c>
      <c r="G3214" t="s">
        <v>64</v>
      </c>
      <c r="H3214" t="s">
        <v>16</v>
      </c>
      <c r="I3214" t="s">
        <v>298</v>
      </c>
      <c r="J3214" t="s">
        <v>299</v>
      </c>
      <c r="K3214" t="s">
        <v>1809</v>
      </c>
      <c r="L3214" t="str">
        <f>HYPERLINK("https://business-monitor.ch/de/companies/1006318-hofmann-switzerland-ag?utm_source=oberaargau","PROFIL ANSEHEN")</f>
        <v>PROFIL ANSEHEN</v>
      </c>
    </row>
    <row r="3215" spans="1:12" x14ac:dyDescent="0.2">
      <c r="A3215" t="s">
        <v>7708</v>
      </c>
      <c r="B3215" t="s">
        <v>11655</v>
      </c>
      <c r="C3215" t="s">
        <v>13</v>
      </c>
      <c r="E3215" t="s">
        <v>7709</v>
      </c>
      <c r="F3215">
        <v>4917</v>
      </c>
      <c r="G3215" t="s">
        <v>376</v>
      </c>
      <c r="H3215" t="s">
        <v>16</v>
      </c>
      <c r="I3215" t="s">
        <v>935</v>
      </c>
      <c r="J3215" t="s">
        <v>936</v>
      </c>
      <c r="K3215" t="s">
        <v>1809</v>
      </c>
      <c r="L3215" t="str">
        <f>HYPERLINK("https://business-monitor.ch/de/companies/608755-staempfligasse-immobilien-ag?utm_source=oberaargau","PROFIL ANSEHEN")</f>
        <v>PROFIL ANSEHEN</v>
      </c>
    </row>
    <row r="3216" spans="1:12" x14ac:dyDescent="0.2">
      <c r="A3216" t="s">
        <v>11031</v>
      </c>
      <c r="B3216" t="s">
        <v>11032</v>
      </c>
      <c r="C3216" t="s">
        <v>1812</v>
      </c>
      <c r="E3216" t="s">
        <v>11033</v>
      </c>
      <c r="F3216">
        <v>4536</v>
      </c>
      <c r="G3216" t="s">
        <v>1395</v>
      </c>
      <c r="H3216" t="s">
        <v>16</v>
      </c>
      <c r="I3216" t="s">
        <v>3864</v>
      </c>
      <c r="J3216" t="s">
        <v>3865</v>
      </c>
      <c r="K3216" t="s">
        <v>1809</v>
      </c>
      <c r="L3216" t="str">
        <f>HYPERLINK("https://business-monitor.ch/de/companies/1119020-lisa-marie-kurth-photography?utm_source=oberaargau","PROFIL ANSEHEN")</f>
        <v>PROFIL ANSEHEN</v>
      </c>
    </row>
    <row r="3217" spans="1:12" x14ac:dyDescent="0.2">
      <c r="A3217" t="s">
        <v>5230</v>
      </c>
      <c r="B3217" t="s">
        <v>5231</v>
      </c>
      <c r="C3217" t="s">
        <v>1812</v>
      </c>
      <c r="E3217" t="s">
        <v>5232</v>
      </c>
      <c r="F3217">
        <v>4922</v>
      </c>
      <c r="G3217" t="s">
        <v>99</v>
      </c>
      <c r="H3217" t="s">
        <v>16</v>
      </c>
      <c r="I3217" t="s">
        <v>77</v>
      </c>
      <c r="J3217" t="s">
        <v>78</v>
      </c>
      <c r="K3217" t="s">
        <v>1809</v>
      </c>
      <c r="L3217" t="str">
        <f>HYPERLINK("https://business-monitor.ch/de/companies/371552-marti-montagen?utm_source=oberaargau","PROFIL ANSEHEN")</f>
        <v>PROFIL ANSEHEN</v>
      </c>
    </row>
    <row r="3218" spans="1:12" x14ac:dyDescent="0.2">
      <c r="A3218" t="s">
        <v>7649</v>
      </c>
      <c r="B3218" t="s">
        <v>7650</v>
      </c>
      <c r="C3218" t="s">
        <v>202</v>
      </c>
      <c r="E3218" t="s">
        <v>7651</v>
      </c>
      <c r="F3218">
        <v>3374</v>
      </c>
      <c r="G3218" t="s">
        <v>894</v>
      </c>
      <c r="H3218" t="s">
        <v>16</v>
      </c>
      <c r="I3218" t="s">
        <v>2900</v>
      </c>
      <c r="J3218" t="s">
        <v>2901</v>
      </c>
      <c r="K3218" t="s">
        <v>1809</v>
      </c>
      <c r="L3218" t="str">
        <f>HYPERLINK("https://business-monitor.ch/de/companies/639665-fahrschule-straubhaar-gmbh?utm_source=oberaargau","PROFIL ANSEHEN")</f>
        <v>PROFIL ANSEHEN</v>
      </c>
    </row>
    <row r="3219" spans="1:12" x14ac:dyDescent="0.2">
      <c r="A3219" t="s">
        <v>7750</v>
      </c>
      <c r="B3219" t="s">
        <v>7751</v>
      </c>
      <c r="C3219" t="s">
        <v>1812</v>
      </c>
      <c r="E3219" t="s">
        <v>14563</v>
      </c>
      <c r="F3219">
        <v>3367</v>
      </c>
      <c r="G3219" t="s">
        <v>1336</v>
      </c>
      <c r="H3219" t="s">
        <v>16</v>
      </c>
      <c r="I3219" t="s">
        <v>331</v>
      </c>
      <c r="J3219" t="s">
        <v>332</v>
      </c>
      <c r="K3219" t="s">
        <v>1809</v>
      </c>
      <c r="L3219" t="str">
        <f>HYPERLINK("https://business-monitor.ch/de/companies/585713-modell-und-formenbau-landolt?utm_source=oberaargau","PROFIL ANSEHEN")</f>
        <v>PROFIL ANSEHEN</v>
      </c>
    </row>
    <row r="3220" spans="1:12" x14ac:dyDescent="0.2">
      <c r="A3220" t="s">
        <v>7798</v>
      </c>
      <c r="B3220" t="s">
        <v>7799</v>
      </c>
      <c r="C3220" t="s">
        <v>1812</v>
      </c>
      <c r="E3220" t="s">
        <v>7800</v>
      </c>
      <c r="F3220">
        <v>4932</v>
      </c>
      <c r="G3220" t="s">
        <v>325</v>
      </c>
      <c r="H3220" t="s">
        <v>16</v>
      </c>
      <c r="I3220" t="s">
        <v>824</v>
      </c>
      <c r="J3220" t="s">
        <v>825</v>
      </c>
      <c r="K3220" t="s">
        <v>1809</v>
      </c>
      <c r="L3220" t="str">
        <f>HYPERLINK("https://business-monitor.ch/de/companies/550727-restaurant-kreuz-c-michel?utm_source=oberaargau","PROFIL ANSEHEN")</f>
        <v>PROFIL ANSEHEN</v>
      </c>
    </row>
    <row r="3221" spans="1:12" x14ac:dyDescent="0.2">
      <c r="A3221" t="s">
        <v>10252</v>
      </c>
      <c r="B3221" t="s">
        <v>10253</v>
      </c>
      <c r="C3221" t="s">
        <v>1812</v>
      </c>
      <c r="E3221" t="s">
        <v>2084</v>
      </c>
      <c r="F3221">
        <v>4933</v>
      </c>
      <c r="G3221" t="s">
        <v>3812</v>
      </c>
      <c r="H3221" t="s">
        <v>16</v>
      </c>
      <c r="I3221" t="s">
        <v>2587</v>
      </c>
      <c r="J3221" t="s">
        <v>2588</v>
      </c>
      <c r="K3221" t="s">
        <v>1809</v>
      </c>
      <c r="L3221" t="str">
        <f>HYPERLINK("https://business-monitor.ch/de/companies/589319-arte-via-schuetz?utm_source=oberaargau","PROFIL ANSEHEN")</f>
        <v>PROFIL ANSEHEN</v>
      </c>
    </row>
    <row r="3222" spans="1:12" x14ac:dyDescent="0.2">
      <c r="A3222" t="s">
        <v>8481</v>
      </c>
      <c r="B3222" t="s">
        <v>8482</v>
      </c>
      <c r="C3222" t="s">
        <v>1812</v>
      </c>
      <c r="E3222" t="s">
        <v>7236</v>
      </c>
      <c r="F3222">
        <v>3360</v>
      </c>
      <c r="G3222" t="s">
        <v>35</v>
      </c>
      <c r="H3222" t="s">
        <v>16</v>
      </c>
      <c r="I3222" t="s">
        <v>718</v>
      </c>
      <c r="J3222" t="s">
        <v>719</v>
      </c>
      <c r="K3222" t="s">
        <v>1809</v>
      </c>
      <c r="L3222" t="str">
        <f>HYPERLINK("https://business-monitor.ch/de/companies/338846-gohl-carreisen?utm_source=oberaargau","PROFIL ANSEHEN")</f>
        <v>PROFIL ANSEHEN</v>
      </c>
    </row>
    <row r="3223" spans="1:12" x14ac:dyDescent="0.2">
      <c r="A3223" t="s">
        <v>10120</v>
      </c>
      <c r="B3223" t="s">
        <v>10121</v>
      </c>
      <c r="C3223" t="s">
        <v>13</v>
      </c>
      <c r="E3223" t="s">
        <v>76</v>
      </c>
      <c r="F3223">
        <v>4900</v>
      </c>
      <c r="G3223" t="s">
        <v>41</v>
      </c>
      <c r="H3223" t="s">
        <v>16</v>
      </c>
      <c r="I3223" t="s">
        <v>331</v>
      </c>
      <c r="J3223" t="s">
        <v>332</v>
      </c>
      <c r="K3223" t="s">
        <v>1809</v>
      </c>
      <c r="L3223" t="str">
        <f>HYPERLINK("https://business-monitor.ch/de/companies/665150-gmb-technik-ag?utm_source=oberaargau","PROFIL ANSEHEN")</f>
        <v>PROFIL ANSEHEN</v>
      </c>
    </row>
    <row r="3224" spans="1:12" x14ac:dyDescent="0.2">
      <c r="A3224" t="s">
        <v>9608</v>
      </c>
      <c r="B3224" t="s">
        <v>9609</v>
      </c>
      <c r="C3224" t="s">
        <v>13</v>
      </c>
      <c r="E3224" t="s">
        <v>9610</v>
      </c>
      <c r="F3224">
        <v>3360</v>
      </c>
      <c r="G3224" t="s">
        <v>35</v>
      </c>
      <c r="H3224" t="s">
        <v>16</v>
      </c>
      <c r="I3224" t="s">
        <v>2197</v>
      </c>
      <c r="J3224" t="s">
        <v>2198</v>
      </c>
      <c r="K3224" t="s">
        <v>1809</v>
      </c>
      <c r="L3224" t="str">
        <f>HYPERLINK("https://business-monitor.ch/de/companies/587307-n-dent-ag?utm_source=oberaargau","PROFIL ANSEHEN")</f>
        <v>PROFIL ANSEHEN</v>
      </c>
    </row>
    <row r="3225" spans="1:12" x14ac:dyDescent="0.2">
      <c r="A3225" t="s">
        <v>4632</v>
      </c>
      <c r="B3225" t="s">
        <v>4633</v>
      </c>
      <c r="C3225" t="s">
        <v>1812</v>
      </c>
      <c r="E3225" t="s">
        <v>4634</v>
      </c>
      <c r="F3225">
        <v>4954</v>
      </c>
      <c r="G3225" t="s">
        <v>359</v>
      </c>
      <c r="H3225" t="s">
        <v>16</v>
      </c>
      <c r="I3225" t="s">
        <v>824</v>
      </c>
      <c r="J3225" t="s">
        <v>825</v>
      </c>
      <c r="K3225" t="s">
        <v>1809</v>
      </c>
      <c r="L3225" t="str">
        <f>HYPERLINK("https://business-monitor.ch/de/companies/626557-restaurant-roggengratbad-secilmis?utm_source=oberaargau","PROFIL ANSEHEN")</f>
        <v>PROFIL ANSEHEN</v>
      </c>
    </row>
    <row r="3226" spans="1:12" x14ac:dyDescent="0.2">
      <c r="A3226" t="s">
        <v>3928</v>
      </c>
      <c r="B3226" t="s">
        <v>3929</v>
      </c>
      <c r="C3226" t="s">
        <v>202</v>
      </c>
      <c r="E3226" t="s">
        <v>3930</v>
      </c>
      <c r="F3226">
        <v>4932</v>
      </c>
      <c r="G3226" t="s">
        <v>325</v>
      </c>
      <c r="H3226" t="s">
        <v>16</v>
      </c>
      <c r="I3226" t="s">
        <v>1097</v>
      </c>
      <c r="J3226" t="s">
        <v>1098</v>
      </c>
      <c r="K3226" t="s">
        <v>1809</v>
      </c>
      <c r="L3226" t="str">
        <f>HYPERLINK("https://business-monitor.ch/de/companies/636483-lbl-gmbh?utm_source=oberaargau","PROFIL ANSEHEN")</f>
        <v>PROFIL ANSEHEN</v>
      </c>
    </row>
    <row r="3227" spans="1:12" x14ac:dyDescent="0.2">
      <c r="A3227" t="s">
        <v>4524</v>
      </c>
      <c r="B3227" t="s">
        <v>4525</v>
      </c>
      <c r="C3227" t="s">
        <v>1812</v>
      </c>
      <c r="E3227" t="s">
        <v>4526</v>
      </c>
      <c r="F3227">
        <v>4922</v>
      </c>
      <c r="G3227" t="s">
        <v>99</v>
      </c>
      <c r="H3227" t="s">
        <v>16</v>
      </c>
      <c r="I3227" t="s">
        <v>1401</v>
      </c>
      <c r="J3227" t="s">
        <v>1402</v>
      </c>
      <c r="K3227" t="s">
        <v>1809</v>
      </c>
      <c r="L3227" t="str">
        <f>HYPERLINK("https://business-monitor.ch/de/companies/682271-fraeulein-blume-c-sommer?utm_source=oberaargau","PROFIL ANSEHEN")</f>
        <v>PROFIL ANSEHEN</v>
      </c>
    </row>
    <row r="3228" spans="1:12" x14ac:dyDescent="0.2">
      <c r="A3228" t="s">
        <v>3925</v>
      </c>
      <c r="B3228" t="s">
        <v>3926</v>
      </c>
      <c r="C3228" t="s">
        <v>1812</v>
      </c>
      <c r="E3228" t="s">
        <v>3927</v>
      </c>
      <c r="F3228">
        <v>4922</v>
      </c>
      <c r="G3228" t="s">
        <v>99</v>
      </c>
      <c r="H3228" t="s">
        <v>16</v>
      </c>
      <c r="I3228" t="s">
        <v>854</v>
      </c>
      <c r="J3228" t="s">
        <v>855</v>
      </c>
      <c r="K3228" t="s">
        <v>1809</v>
      </c>
      <c r="L3228" t="str">
        <f>HYPERLINK("https://business-monitor.ch/de/companies/650549-coole-software-walter?utm_source=oberaargau","PROFIL ANSEHEN")</f>
        <v>PROFIL ANSEHEN</v>
      </c>
    </row>
    <row r="3229" spans="1:12" x14ac:dyDescent="0.2">
      <c r="A3229" t="s">
        <v>9501</v>
      </c>
      <c r="B3229" t="s">
        <v>11802</v>
      </c>
      <c r="C3229" t="s">
        <v>202</v>
      </c>
      <c r="E3229" t="s">
        <v>9502</v>
      </c>
      <c r="F3229">
        <v>4537</v>
      </c>
      <c r="G3229" t="s">
        <v>113</v>
      </c>
      <c r="H3229" t="s">
        <v>16</v>
      </c>
      <c r="I3229" t="s">
        <v>331</v>
      </c>
      <c r="J3229" t="s">
        <v>332</v>
      </c>
      <c r="K3229" t="s">
        <v>1809</v>
      </c>
      <c r="L3229" t="str">
        <f>HYPERLINK("https://business-monitor.ch/de/companies/635866-cyfa-tech-ch-manufacturing-solutions-gmbh?utm_source=oberaargau","PROFIL ANSEHEN")</f>
        <v>PROFIL ANSEHEN</v>
      </c>
    </row>
    <row r="3230" spans="1:12" x14ac:dyDescent="0.2">
      <c r="A3230" t="s">
        <v>11912</v>
      </c>
      <c r="B3230" t="s">
        <v>11913</v>
      </c>
      <c r="C3230" t="s">
        <v>1812</v>
      </c>
      <c r="E3230" t="s">
        <v>11914</v>
      </c>
      <c r="F3230">
        <v>3360</v>
      </c>
      <c r="G3230" t="s">
        <v>35</v>
      </c>
      <c r="H3230" t="s">
        <v>16</v>
      </c>
      <c r="I3230" t="s">
        <v>2587</v>
      </c>
      <c r="J3230" t="s">
        <v>2588</v>
      </c>
      <c r="K3230" t="s">
        <v>1809</v>
      </c>
      <c r="L3230" t="str">
        <f>HYPERLINK("https://business-monitor.ch/de/companies/1168902-swisscleaner-lobert?utm_source=oberaargau","PROFIL ANSEHEN")</f>
        <v>PROFIL ANSEHEN</v>
      </c>
    </row>
    <row r="3231" spans="1:12" x14ac:dyDescent="0.2">
      <c r="A3231" t="s">
        <v>1106</v>
      </c>
      <c r="B3231" t="s">
        <v>1107</v>
      </c>
      <c r="C3231" t="s">
        <v>13</v>
      </c>
      <c r="E3231" t="s">
        <v>11435</v>
      </c>
      <c r="F3231">
        <v>4537</v>
      </c>
      <c r="G3231" t="s">
        <v>113</v>
      </c>
      <c r="H3231" t="s">
        <v>16</v>
      </c>
      <c r="I3231" t="s">
        <v>1097</v>
      </c>
      <c r="J3231" t="s">
        <v>1098</v>
      </c>
      <c r="K3231" t="s">
        <v>1809</v>
      </c>
      <c r="L3231" t="str">
        <f>HYPERLINK("https://business-monitor.ch/de/companies/173631-rudolf-krenger-ag?utm_source=oberaargau","PROFIL ANSEHEN")</f>
        <v>PROFIL ANSEHEN</v>
      </c>
    </row>
    <row r="3232" spans="1:12" x14ac:dyDescent="0.2">
      <c r="A3232" t="s">
        <v>7640</v>
      </c>
      <c r="B3232" t="s">
        <v>7641</v>
      </c>
      <c r="C3232" t="s">
        <v>13</v>
      </c>
      <c r="E3232" t="s">
        <v>2586</v>
      </c>
      <c r="F3232">
        <v>4952</v>
      </c>
      <c r="G3232" t="s">
        <v>474</v>
      </c>
      <c r="H3232" t="s">
        <v>16</v>
      </c>
      <c r="I3232" t="s">
        <v>134</v>
      </c>
      <c r="J3232" t="s">
        <v>135</v>
      </c>
      <c r="K3232" t="s">
        <v>1809</v>
      </c>
      <c r="L3232" t="str">
        <f>HYPERLINK("https://business-monitor.ch/de/companies/643520-zehnder-elektrotechnik-ag?utm_source=oberaargau","PROFIL ANSEHEN")</f>
        <v>PROFIL ANSEHEN</v>
      </c>
    </row>
    <row r="3233" spans="1:12" x14ac:dyDescent="0.2">
      <c r="A3233" t="s">
        <v>14190</v>
      </c>
      <c r="B3233" t="s">
        <v>14191</v>
      </c>
      <c r="C3233" t="s">
        <v>202</v>
      </c>
      <c r="E3233" t="s">
        <v>14192</v>
      </c>
      <c r="F3233">
        <v>4953</v>
      </c>
      <c r="G3233" t="s">
        <v>416</v>
      </c>
      <c r="H3233" t="s">
        <v>16</v>
      </c>
      <c r="I3233" t="s">
        <v>72</v>
      </c>
      <c r="J3233" t="s">
        <v>73</v>
      </c>
      <c r="K3233" t="s">
        <v>1809</v>
      </c>
      <c r="L3233" t="str">
        <f>HYPERLINK("https://business-monitor.ch/de/companies/718902-hammertime-gmbh?utm_source=oberaargau","PROFIL ANSEHEN")</f>
        <v>PROFIL ANSEHEN</v>
      </c>
    </row>
    <row r="3234" spans="1:12" x14ac:dyDescent="0.2">
      <c r="A3234" t="s">
        <v>1137</v>
      </c>
      <c r="B3234" t="s">
        <v>1138</v>
      </c>
      <c r="C3234" t="s">
        <v>13</v>
      </c>
      <c r="E3234" t="s">
        <v>1139</v>
      </c>
      <c r="F3234">
        <v>4900</v>
      </c>
      <c r="G3234" t="s">
        <v>41</v>
      </c>
      <c r="H3234" t="s">
        <v>16</v>
      </c>
      <c r="I3234" t="s">
        <v>1140</v>
      </c>
      <c r="J3234" t="s">
        <v>1141</v>
      </c>
      <c r="K3234" t="s">
        <v>1809</v>
      </c>
      <c r="L3234" t="str">
        <f>HYPERLINK("https://business-monitor.ch/de/companies/170851-huegli-tech-ag?utm_source=oberaargau","PROFIL ANSEHEN")</f>
        <v>PROFIL ANSEHEN</v>
      </c>
    </row>
    <row r="3235" spans="1:12" x14ac:dyDescent="0.2">
      <c r="A3235" t="s">
        <v>2130</v>
      </c>
      <c r="B3235" t="s">
        <v>2131</v>
      </c>
      <c r="C3235" t="s">
        <v>13</v>
      </c>
      <c r="D3235" t="s">
        <v>2132</v>
      </c>
      <c r="E3235" t="s">
        <v>2133</v>
      </c>
      <c r="F3235">
        <v>4917</v>
      </c>
      <c r="G3235" t="s">
        <v>376</v>
      </c>
      <c r="H3235" t="s">
        <v>16</v>
      </c>
      <c r="I3235" t="s">
        <v>157</v>
      </c>
      <c r="J3235" t="s">
        <v>158</v>
      </c>
      <c r="K3235" t="s">
        <v>1809</v>
      </c>
      <c r="L3235" t="str">
        <f>HYPERLINK("https://business-monitor.ch/de/companies/11899-storchenturm-ag?utm_source=oberaargau","PROFIL ANSEHEN")</f>
        <v>PROFIL ANSEHEN</v>
      </c>
    </row>
    <row r="3236" spans="1:12" x14ac:dyDescent="0.2">
      <c r="A3236" t="s">
        <v>9417</v>
      </c>
      <c r="B3236" t="s">
        <v>9418</v>
      </c>
      <c r="C3236" t="s">
        <v>1812</v>
      </c>
      <c r="E3236" t="s">
        <v>9419</v>
      </c>
      <c r="F3236">
        <v>4911</v>
      </c>
      <c r="G3236" t="s">
        <v>1005</v>
      </c>
      <c r="H3236" t="s">
        <v>16</v>
      </c>
      <c r="I3236" t="s">
        <v>65</v>
      </c>
      <c r="J3236" t="s">
        <v>66</v>
      </c>
      <c r="K3236" t="s">
        <v>1809</v>
      </c>
      <c r="L3236" t="str">
        <f>HYPERLINK("https://business-monitor.ch/de/companies/20420-rene-liechti?utm_source=oberaargau","PROFIL ANSEHEN")</f>
        <v>PROFIL ANSEHEN</v>
      </c>
    </row>
    <row r="3237" spans="1:12" x14ac:dyDescent="0.2">
      <c r="A3237" t="s">
        <v>6902</v>
      </c>
      <c r="B3237" t="s">
        <v>6903</v>
      </c>
      <c r="C3237" t="s">
        <v>1812</v>
      </c>
      <c r="E3237" t="s">
        <v>6904</v>
      </c>
      <c r="F3237">
        <v>4537</v>
      </c>
      <c r="G3237" t="s">
        <v>113</v>
      </c>
      <c r="H3237" t="s">
        <v>16</v>
      </c>
      <c r="I3237" t="s">
        <v>1401</v>
      </c>
      <c r="J3237" t="s">
        <v>1402</v>
      </c>
      <c r="K3237" t="s">
        <v>1809</v>
      </c>
      <c r="L3237" t="str">
        <f>HYPERLINK("https://business-monitor.ch/de/companies/21968-blumen-und-dekorationen-christen?utm_source=oberaargau","PROFIL ANSEHEN")</f>
        <v>PROFIL ANSEHEN</v>
      </c>
    </row>
    <row r="3238" spans="1:12" x14ac:dyDescent="0.2">
      <c r="A3238" t="s">
        <v>2109</v>
      </c>
      <c r="B3238" t="s">
        <v>2110</v>
      </c>
      <c r="C3238" t="s">
        <v>13</v>
      </c>
      <c r="E3238" t="s">
        <v>1052</v>
      </c>
      <c r="F3238">
        <v>3360</v>
      </c>
      <c r="G3238" t="s">
        <v>35</v>
      </c>
      <c r="H3238" t="s">
        <v>16</v>
      </c>
      <c r="I3238" t="s">
        <v>935</v>
      </c>
      <c r="J3238" t="s">
        <v>936</v>
      </c>
      <c r="K3238" t="s">
        <v>1809</v>
      </c>
      <c r="L3238" t="str">
        <f>HYPERLINK("https://business-monitor.ch/de/companies/59363-stecasa-ag?utm_source=oberaargau","PROFIL ANSEHEN")</f>
        <v>PROFIL ANSEHEN</v>
      </c>
    </row>
    <row r="3239" spans="1:12" x14ac:dyDescent="0.2">
      <c r="A3239" t="s">
        <v>3626</v>
      </c>
      <c r="B3239" t="s">
        <v>3627</v>
      </c>
      <c r="C3239" t="s">
        <v>13</v>
      </c>
      <c r="E3239" t="s">
        <v>3628</v>
      </c>
      <c r="F3239">
        <v>4900</v>
      </c>
      <c r="G3239" t="s">
        <v>41</v>
      </c>
      <c r="H3239" t="s">
        <v>16</v>
      </c>
      <c r="I3239" t="s">
        <v>1361</v>
      </c>
      <c r="J3239" t="s">
        <v>1362</v>
      </c>
      <c r="K3239" t="s">
        <v>1809</v>
      </c>
      <c r="L3239" t="str">
        <f>HYPERLINK("https://business-monitor.ch/de/companies/73410-egla-ag?utm_source=oberaargau","PROFIL ANSEHEN")</f>
        <v>PROFIL ANSEHEN</v>
      </c>
    </row>
    <row r="3240" spans="1:12" x14ac:dyDescent="0.2">
      <c r="A3240" t="s">
        <v>6963</v>
      </c>
      <c r="B3240" t="s">
        <v>6964</v>
      </c>
      <c r="C3240" t="s">
        <v>1812</v>
      </c>
      <c r="E3240" t="s">
        <v>2421</v>
      </c>
      <c r="F3240">
        <v>4950</v>
      </c>
      <c r="G3240" t="s">
        <v>15</v>
      </c>
      <c r="H3240" t="s">
        <v>16</v>
      </c>
      <c r="I3240" t="s">
        <v>1324</v>
      </c>
      <c r="J3240" t="s">
        <v>1325</v>
      </c>
      <c r="K3240" t="s">
        <v>1809</v>
      </c>
      <c r="L3240" t="str">
        <f>HYPERLINK("https://business-monitor.ch/de/companies/73650-hanspeter-litscher?utm_source=oberaargau","PROFIL ANSEHEN")</f>
        <v>PROFIL ANSEHEN</v>
      </c>
    </row>
    <row r="3241" spans="1:12" x14ac:dyDescent="0.2">
      <c r="A3241" t="s">
        <v>7499</v>
      </c>
      <c r="B3241" t="s">
        <v>7500</v>
      </c>
      <c r="C3241" t="s">
        <v>2178</v>
      </c>
      <c r="E3241" t="s">
        <v>161</v>
      </c>
      <c r="F3241">
        <v>4922</v>
      </c>
      <c r="G3241" t="s">
        <v>99</v>
      </c>
      <c r="H3241" t="s">
        <v>16</v>
      </c>
      <c r="I3241" t="s">
        <v>91</v>
      </c>
      <c r="J3241" t="s">
        <v>92</v>
      </c>
      <c r="K3241" t="s">
        <v>1809</v>
      </c>
      <c r="L3241" t="str">
        <f>HYPERLINK("https://business-monitor.ch/de/companies/723982-offergeld-logistik-schweiz-ag-zweigniederlassung-thunstetten?utm_source=oberaargau","PROFIL ANSEHEN")</f>
        <v>PROFIL ANSEHEN</v>
      </c>
    </row>
    <row r="3242" spans="1:12" x14ac:dyDescent="0.2">
      <c r="A3242" t="s">
        <v>10083</v>
      </c>
      <c r="B3242" t="s">
        <v>11538</v>
      </c>
      <c r="C3242" t="s">
        <v>202</v>
      </c>
      <c r="E3242" t="s">
        <v>10084</v>
      </c>
      <c r="F3242">
        <v>4538</v>
      </c>
      <c r="G3242" t="s">
        <v>71</v>
      </c>
      <c r="H3242" t="s">
        <v>16</v>
      </c>
      <c r="I3242" t="s">
        <v>2849</v>
      </c>
      <c r="J3242" t="s">
        <v>2850</v>
      </c>
      <c r="K3242" t="s">
        <v>1809</v>
      </c>
      <c r="L3242" t="str">
        <f>HYPERLINK("https://business-monitor.ch/de/companies/685934-foyers-allalin-gmbh?utm_source=oberaargau","PROFIL ANSEHEN")</f>
        <v>PROFIL ANSEHEN</v>
      </c>
    </row>
    <row r="3243" spans="1:12" x14ac:dyDescent="0.2">
      <c r="A3243" t="s">
        <v>10013</v>
      </c>
      <c r="B3243" t="s">
        <v>10014</v>
      </c>
      <c r="C3243" t="s">
        <v>1812</v>
      </c>
      <c r="E3243" t="s">
        <v>11091</v>
      </c>
      <c r="F3243">
        <v>3360</v>
      </c>
      <c r="G3243" t="s">
        <v>35</v>
      </c>
      <c r="H3243" t="s">
        <v>16</v>
      </c>
      <c r="I3243" t="s">
        <v>772</v>
      </c>
      <c r="J3243" t="s">
        <v>773</v>
      </c>
      <c r="K3243" t="s">
        <v>1809</v>
      </c>
      <c r="L3243" t="str">
        <f>HYPERLINK("https://business-monitor.ch/de/companies/717628-komfortzone-beatrice-broger?utm_source=oberaargau","PROFIL ANSEHEN")</f>
        <v>PROFIL ANSEHEN</v>
      </c>
    </row>
    <row r="3244" spans="1:12" x14ac:dyDescent="0.2">
      <c r="A3244" t="s">
        <v>9993</v>
      </c>
      <c r="B3244" t="s">
        <v>9994</v>
      </c>
      <c r="C3244" t="s">
        <v>1812</v>
      </c>
      <c r="E3244" t="s">
        <v>10410</v>
      </c>
      <c r="F3244">
        <v>4922</v>
      </c>
      <c r="G3244" t="s">
        <v>1318</v>
      </c>
      <c r="H3244" t="s">
        <v>16</v>
      </c>
      <c r="I3244" t="s">
        <v>4221</v>
      </c>
      <c r="J3244" t="s">
        <v>4222</v>
      </c>
      <c r="K3244" t="s">
        <v>1809</v>
      </c>
      <c r="L3244" t="str">
        <f>HYPERLINK("https://business-monitor.ch/de/companies/727170-medizinischer-schreibservice-felber?utm_source=oberaargau","PROFIL ANSEHEN")</f>
        <v>PROFIL ANSEHEN</v>
      </c>
    </row>
    <row r="3245" spans="1:12" x14ac:dyDescent="0.2">
      <c r="A3245" t="s">
        <v>6779</v>
      </c>
      <c r="B3245" t="s">
        <v>6780</v>
      </c>
      <c r="C3245" t="s">
        <v>2010</v>
      </c>
      <c r="E3245" t="s">
        <v>6781</v>
      </c>
      <c r="F3245">
        <v>4900</v>
      </c>
      <c r="G3245" t="s">
        <v>41</v>
      </c>
      <c r="H3245" t="s">
        <v>16</v>
      </c>
      <c r="I3245" t="s">
        <v>2587</v>
      </c>
      <c r="J3245" t="s">
        <v>2588</v>
      </c>
      <c r="K3245" t="s">
        <v>1809</v>
      </c>
      <c r="L3245" t="str">
        <f>HYPERLINK("https://business-monitor.ch/de/companies/100616-muehlethaler-co?utm_source=oberaargau","PROFIL ANSEHEN")</f>
        <v>PROFIL ANSEHEN</v>
      </c>
    </row>
    <row r="3246" spans="1:12" x14ac:dyDescent="0.2">
      <c r="A3246" t="s">
        <v>9900</v>
      </c>
      <c r="B3246" t="s">
        <v>9901</v>
      </c>
      <c r="C3246" t="s">
        <v>1812</v>
      </c>
      <c r="E3246" t="s">
        <v>9902</v>
      </c>
      <c r="F3246">
        <v>4914</v>
      </c>
      <c r="G3246" t="s">
        <v>105</v>
      </c>
      <c r="H3246" t="s">
        <v>16</v>
      </c>
      <c r="I3246" t="s">
        <v>4858</v>
      </c>
      <c r="J3246" t="s">
        <v>4859</v>
      </c>
      <c r="K3246" t="s">
        <v>1809</v>
      </c>
      <c r="L3246" t="str">
        <f>HYPERLINK("https://business-monitor.ch/de/companies/967291-s-o-g-investigations-ron-glaser?utm_source=oberaargau","PROFIL ANSEHEN")</f>
        <v>PROFIL ANSEHEN</v>
      </c>
    </row>
    <row r="3247" spans="1:12" x14ac:dyDescent="0.2">
      <c r="A3247" t="s">
        <v>8992</v>
      </c>
      <c r="B3247" t="s">
        <v>9907</v>
      </c>
      <c r="C3247" t="s">
        <v>1812</v>
      </c>
      <c r="E3247" t="s">
        <v>14564</v>
      </c>
      <c r="F3247">
        <v>3376</v>
      </c>
      <c r="G3247" t="s">
        <v>2012</v>
      </c>
      <c r="H3247" t="s">
        <v>16</v>
      </c>
      <c r="I3247" t="s">
        <v>4577</v>
      </c>
      <c r="J3247" t="s">
        <v>4578</v>
      </c>
      <c r="K3247" t="s">
        <v>1809</v>
      </c>
      <c r="L3247" t="str">
        <f>HYPERLINK("https://business-monitor.ch/de/companies/964092-cartier-bildhauer?utm_source=oberaargau","PROFIL ANSEHEN")</f>
        <v>PROFIL ANSEHEN</v>
      </c>
    </row>
    <row r="3248" spans="1:12" x14ac:dyDescent="0.2">
      <c r="A3248" t="s">
        <v>11829</v>
      </c>
      <c r="B3248" t="s">
        <v>11830</v>
      </c>
      <c r="C3248" t="s">
        <v>1812</v>
      </c>
      <c r="E3248" t="s">
        <v>3981</v>
      </c>
      <c r="F3248">
        <v>4938</v>
      </c>
      <c r="G3248" t="s">
        <v>618</v>
      </c>
      <c r="H3248" t="s">
        <v>16</v>
      </c>
      <c r="I3248" t="s">
        <v>3072</v>
      </c>
      <c r="J3248" t="s">
        <v>3073</v>
      </c>
      <c r="K3248" t="s">
        <v>1809</v>
      </c>
      <c r="L3248" t="str">
        <f>HYPERLINK("https://business-monitor.ch/de/companies/1164488-bellezza-dei-bambini-inh-claudia-fischer?utm_source=oberaargau","PROFIL ANSEHEN")</f>
        <v>PROFIL ANSEHEN</v>
      </c>
    </row>
    <row r="3249" spans="1:12" x14ac:dyDescent="0.2">
      <c r="A3249" t="s">
        <v>12191</v>
      </c>
      <c r="B3249" t="s">
        <v>12192</v>
      </c>
      <c r="C3249" t="s">
        <v>1812</v>
      </c>
      <c r="E3249" t="s">
        <v>12193</v>
      </c>
      <c r="F3249">
        <v>3360</v>
      </c>
      <c r="G3249" t="s">
        <v>35</v>
      </c>
      <c r="H3249" t="s">
        <v>16</v>
      </c>
      <c r="I3249" t="s">
        <v>2748</v>
      </c>
      <c r="J3249" t="s">
        <v>2749</v>
      </c>
      <c r="K3249" t="s">
        <v>1809</v>
      </c>
      <c r="L3249" t="str">
        <f>HYPERLINK("https://business-monitor.ch/de/companies/1185490-great-planning-carla-alessia-iseli?utm_source=oberaargau","PROFIL ANSEHEN")</f>
        <v>PROFIL ANSEHEN</v>
      </c>
    </row>
    <row r="3250" spans="1:12" x14ac:dyDescent="0.2">
      <c r="A3250" t="s">
        <v>12131</v>
      </c>
      <c r="B3250" t="s">
        <v>12132</v>
      </c>
      <c r="C3250" t="s">
        <v>13</v>
      </c>
      <c r="E3250" t="s">
        <v>12133</v>
      </c>
      <c r="F3250">
        <v>4914</v>
      </c>
      <c r="G3250" t="s">
        <v>105</v>
      </c>
      <c r="H3250" t="s">
        <v>16</v>
      </c>
      <c r="I3250" t="s">
        <v>671</v>
      </c>
      <c r="J3250" t="s">
        <v>672</v>
      </c>
      <c r="K3250" t="s">
        <v>1809</v>
      </c>
      <c r="L3250" t="str">
        <f>HYPERLINK("https://business-monitor.ch/de/companies/1187378-hausarztpraxis-roggwil-wynau-ag?utm_source=oberaargau","PROFIL ANSEHEN")</f>
        <v>PROFIL ANSEHEN</v>
      </c>
    </row>
    <row r="3251" spans="1:12" x14ac:dyDescent="0.2">
      <c r="A3251" t="s">
        <v>12347</v>
      </c>
      <c r="B3251" t="s">
        <v>12348</v>
      </c>
      <c r="C3251" t="s">
        <v>1812</v>
      </c>
      <c r="E3251" t="s">
        <v>12349</v>
      </c>
      <c r="F3251">
        <v>3380</v>
      </c>
      <c r="G3251" t="s">
        <v>29</v>
      </c>
      <c r="H3251" t="s">
        <v>16</v>
      </c>
      <c r="I3251" t="s">
        <v>2748</v>
      </c>
      <c r="J3251" t="s">
        <v>2749</v>
      </c>
      <c r="K3251" t="s">
        <v>1809</v>
      </c>
      <c r="L3251" t="str">
        <f>HYPERLINK("https://business-monitor.ch/de/companies/1195302-sh-spuerhunde-heiniger?utm_source=oberaargau","PROFIL ANSEHEN")</f>
        <v>PROFIL ANSEHEN</v>
      </c>
    </row>
    <row r="3252" spans="1:12" x14ac:dyDescent="0.2">
      <c r="A3252" t="s">
        <v>12211</v>
      </c>
      <c r="B3252" t="s">
        <v>12212</v>
      </c>
      <c r="C3252" t="s">
        <v>202</v>
      </c>
      <c r="E3252" t="s">
        <v>12213</v>
      </c>
      <c r="F3252">
        <v>3365</v>
      </c>
      <c r="G3252" t="s">
        <v>1008</v>
      </c>
      <c r="H3252" t="s">
        <v>16</v>
      </c>
      <c r="I3252" t="s">
        <v>464</v>
      </c>
      <c r="J3252" t="s">
        <v>465</v>
      </c>
      <c r="K3252" t="s">
        <v>1809</v>
      </c>
      <c r="L3252" t="str">
        <f>HYPERLINK("https://business-monitor.ch/de/companies/1187669-m-schibli-gmbh?utm_source=oberaargau","PROFIL ANSEHEN")</f>
        <v>PROFIL ANSEHEN</v>
      </c>
    </row>
    <row r="3253" spans="1:12" x14ac:dyDescent="0.2">
      <c r="A3253" t="s">
        <v>12134</v>
      </c>
      <c r="B3253" t="s">
        <v>12135</v>
      </c>
      <c r="C3253" t="s">
        <v>202</v>
      </c>
      <c r="D3253" t="s">
        <v>12136</v>
      </c>
      <c r="E3253" t="s">
        <v>12137</v>
      </c>
      <c r="F3253">
        <v>4922</v>
      </c>
      <c r="G3253" t="s">
        <v>99</v>
      </c>
      <c r="H3253" t="s">
        <v>16</v>
      </c>
      <c r="I3253" t="s">
        <v>260</v>
      </c>
      <c r="J3253" t="s">
        <v>261</v>
      </c>
      <c r="K3253" t="s">
        <v>1809</v>
      </c>
      <c r="L3253" t="str">
        <f>HYPERLINK("https://business-monitor.ch/de/companies/1181540-yayan-architektur-gmbh?utm_source=oberaargau","PROFIL ANSEHEN")</f>
        <v>PROFIL ANSEHEN</v>
      </c>
    </row>
    <row r="3254" spans="1:12" x14ac:dyDescent="0.2">
      <c r="A3254" t="s">
        <v>12699</v>
      </c>
      <c r="B3254" t="s">
        <v>12700</v>
      </c>
      <c r="C3254" t="s">
        <v>1812</v>
      </c>
      <c r="E3254" t="s">
        <v>12701</v>
      </c>
      <c r="F3254">
        <v>3380</v>
      </c>
      <c r="G3254" t="s">
        <v>29</v>
      </c>
      <c r="H3254" t="s">
        <v>16</v>
      </c>
      <c r="I3254" t="s">
        <v>469</v>
      </c>
      <c r="J3254" t="s">
        <v>470</v>
      </c>
      <c r="K3254" t="s">
        <v>1809</v>
      </c>
      <c r="L3254" t="str">
        <f>HYPERLINK("https://business-monitor.ch/de/companies/1204796-eh-precision-hasanovic?utm_source=oberaargau","PROFIL ANSEHEN")</f>
        <v>PROFIL ANSEHEN</v>
      </c>
    </row>
    <row r="3255" spans="1:12" x14ac:dyDescent="0.2">
      <c r="A3255" t="s">
        <v>12372</v>
      </c>
      <c r="B3255" t="s">
        <v>12373</v>
      </c>
      <c r="C3255" t="s">
        <v>13</v>
      </c>
      <c r="D3255" t="s">
        <v>12374</v>
      </c>
      <c r="E3255" t="s">
        <v>12375</v>
      </c>
      <c r="F3255">
        <v>3365</v>
      </c>
      <c r="G3255" t="s">
        <v>1008</v>
      </c>
      <c r="H3255" t="s">
        <v>16</v>
      </c>
      <c r="I3255" t="s">
        <v>935</v>
      </c>
      <c r="J3255" t="s">
        <v>936</v>
      </c>
      <c r="K3255" t="s">
        <v>1809</v>
      </c>
      <c r="L3255" t="str">
        <f>HYPERLINK("https://business-monitor.ch/de/companies/1190600-ut-kaeser-ag?utm_source=oberaargau","PROFIL ANSEHEN")</f>
        <v>PROFIL ANSEHEN</v>
      </c>
    </row>
    <row r="3256" spans="1:12" x14ac:dyDescent="0.2">
      <c r="A3256" t="s">
        <v>7180</v>
      </c>
      <c r="B3256" t="s">
        <v>7181</v>
      </c>
      <c r="C3256" t="s">
        <v>202</v>
      </c>
      <c r="E3256" t="s">
        <v>7182</v>
      </c>
      <c r="F3256">
        <v>4900</v>
      </c>
      <c r="G3256" t="s">
        <v>41</v>
      </c>
      <c r="H3256" t="s">
        <v>16</v>
      </c>
      <c r="I3256" t="s">
        <v>1860</v>
      </c>
      <c r="J3256" t="s">
        <v>1861</v>
      </c>
      <c r="K3256" t="s">
        <v>1809</v>
      </c>
      <c r="L3256" t="str">
        <f>HYPERLINK("https://business-monitor.ch/de/companies/947413-hair-fashion-langenthal-gmbh?utm_source=oberaargau","PROFIL ANSEHEN")</f>
        <v>PROFIL ANSEHEN</v>
      </c>
    </row>
    <row r="3257" spans="1:12" x14ac:dyDescent="0.2">
      <c r="A3257" t="s">
        <v>12102</v>
      </c>
      <c r="B3257" t="s">
        <v>9166</v>
      </c>
      <c r="C3257" t="s">
        <v>202</v>
      </c>
      <c r="E3257" t="s">
        <v>9167</v>
      </c>
      <c r="F3257">
        <v>3365</v>
      </c>
      <c r="G3257" t="s">
        <v>1008</v>
      </c>
      <c r="H3257" t="s">
        <v>16</v>
      </c>
      <c r="I3257" t="s">
        <v>2545</v>
      </c>
      <c r="J3257" t="s">
        <v>2546</v>
      </c>
      <c r="K3257" t="s">
        <v>1809</v>
      </c>
      <c r="L3257" t="str">
        <f>HYPERLINK("https://business-monitor.ch/de/companies/1185485-wohnheim-pegasus-gmbh?utm_source=oberaargau","PROFIL ANSEHEN")</f>
        <v>PROFIL ANSEHEN</v>
      </c>
    </row>
    <row r="3258" spans="1:12" x14ac:dyDescent="0.2">
      <c r="A3258" t="s">
        <v>6487</v>
      </c>
      <c r="B3258" t="s">
        <v>6488</v>
      </c>
      <c r="C3258" t="s">
        <v>13</v>
      </c>
      <c r="E3258" t="s">
        <v>6367</v>
      </c>
      <c r="F3258">
        <v>4900</v>
      </c>
      <c r="G3258" t="s">
        <v>41</v>
      </c>
      <c r="H3258" t="s">
        <v>16</v>
      </c>
      <c r="I3258" t="s">
        <v>1860</v>
      </c>
      <c r="J3258" t="s">
        <v>1861</v>
      </c>
      <c r="K3258" t="s">
        <v>1809</v>
      </c>
      <c r="L3258" t="str">
        <f>HYPERLINK("https://business-monitor.ch/de/companies/258717-city-langenthal-ag?utm_source=oberaargau","PROFIL ANSEHEN")</f>
        <v>PROFIL ANSEHEN</v>
      </c>
    </row>
    <row r="3259" spans="1:12" x14ac:dyDescent="0.2">
      <c r="A3259" t="s">
        <v>2795</v>
      </c>
      <c r="B3259" t="s">
        <v>2796</v>
      </c>
      <c r="C3259" t="s">
        <v>202</v>
      </c>
      <c r="E3259" t="s">
        <v>2797</v>
      </c>
      <c r="F3259">
        <v>3380</v>
      </c>
      <c r="G3259" t="s">
        <v>29</v>
      </c>
      <c r="H3259" t="s">
        <v>16</v>
      </c>
      <c r="I3259" t="s">
        <v>469</v>
      </c>
      <c r="J3259" t="s">
        <v>470</v>
      </c>
      <c r="K3259" t="s">
        <v>1809</v>
      </c>
      <c r="L3259" t="str">
        <f>HYPERLINK("https://business-monitor.ch/de/companies/434619-ryf-werkzeugbau-gmbh?utm_source=oberaargau","PROFIL ANSEHEN")</f>
        <v>PROFIL ANSEHEN</v>
      </c>
    </row>
    <row r="3260" spans="1:12" x14ac:dyDescent="0.2">
      <c r="A3260" t="s">
        <v>8854</v>
      </c>
      <c r="B3260" t="s">
        <v>8855</v>
      </c>
      <c r="C3260" t="s">
        <v>202</v>
      </c>
      <c r="E3260" t="s">
        <v>4867</v>
      </c>
      <c r="F3260">
        <v>3360</v>
      </c>
      <c r="G3260" t="s">
        <v>35</v>
      </c>
      <c r="H3260" t="s">
        <v>16</v>
      </c>
      <c r="I3260" t="s">
        <v>42</v>
      </c>
      <c r="J3260" t="s">
        <v>43</v>
      </c>
      <c r="K3260" t="s">
        <v>1809</v>
      </c>
      <c r="L3260" t="str">
        <f>HYPERLINK("https://business-monitor.ch/de/companies/320416-minnotex-gmbh?utm_source=oberaargau","PROFIL ANSEHEN")</f>
        <v>PROFIL ANSEHEN</v>
      </c>
    </row>
    <row r="3261" spans="1:12" x14ac:dyDescent="0.2">
      <c r="A3261" t="s">
        <v>7450</v>
      </c>
      <c r="B3261" t="s">
        <v>7451</v>
      </c>
      <c r="C3261" t="s">
        <v>1812</v>
      </c>
      <c r="E3261" t="s">
        <v>7452</v>
      </c>
      <c r="F3261">
        <v>3365</v>
      </c>
      <c r="G3261" t="s">
        <v>2390</v>
      </c>
      <c r="H3261" t="s">
        <v>16</v>
      </c>
      <c r="I3261" t="s">
        <v>2748</v>
      </c>
      <c r="J3261" t="s">
        <v>2749</v>
      </c>
      <c r="K3261" t="s">
        <v>1809</v>
      </c>
      <c r="L3261" t="str">
        <f>HYPERLINK("https://business-monitor.ch/de/companies/940466-lagler-antoinette?utm_source=oberaargau","PROFIL ANSEHEN")</f>
        <v>PROFIL ANSEHEN</v>
      </c>
    </row>
    <row r="3262" spans="1:12" x14ac:dyDescent="0.2">
      <c r="A3262" t="s">
        <v>12513</v>
      </c>
      <c r="B3262" t="s">
        <v>12514</v>
      </c>
      <c r="C3262" t="s">
        <v>1812</v>
      </c>
      <c r="E3262" t="s">
        <v>12515</v>
      </c>
      <c r="F3262">
        <v>4953</v>
      </c>
      <c r="G3262" t="s">
        <v>416</v>
      </c>
      <c r="H3262" t="s">
        <v>16</v>
      </c>
      <c r="I3262" t="s">
        <v>723</v>
      </c>
      <c r="J3262" t="s">
        <v>724</v>
      </c>
      <c r="K3262" t="s">
        <v>1809</v>
      </c>
      <c r="L3262" t="str">
        <f>HYPERLINK("https://business-monitor.ch/de/companies/1202074-saegerei-eggimann?utm_source=oberaargau","PROFIL ANSEHEN")</f>
        <v>PROFIL ANSEHEN</v>
      </c>
    </row>
    <row r="3263" spans="1:12" x14ac:dyDescent="0.2">
      <c r="A3263" t="s">
        <v>13601</v>
      </c>
      <c r="B3263" t="s">
        <v>13602</v>
      </c>
      <c r="C3263" t="s">
        <v>1812</v>
      </c>
      <c r="E3263" t="s">
        <v>7233</v>
      </c>
      <c r="F3263">
        <v>4914</v>
      </c>
      <c r="G3263" t="s">
        <v>105</v>
      </c>
      <c r="H3263" t="s">
        <v>16</v>
      </c>
      <c r="I3263" t="s">
        <v>175</v>
      </c>
      <c r="J3263" t="s">
        <v>176</v>
      </c>
      <c r="K3263" t="s">
        <v>1809</v>
      </c>
      <c r="L3263" t="str">
        <f>HYPERLINK("https://business-monitor.ch/de/companies/1201843-mix-garage-stafai?utm_source=oberaargau","PROFIL ANSEHEN")</f>
        <v>PROFIL ANSEHEN</v>
      </c>
    </row>
    <row r="3264" spans="1:12" x14ac:dyDescent="0.2">
      <c r="A3264" t="s">
        <v>12707</v>
      </c>
      <c r="B3264" t="s">
        <v>12708</v>
      </c>
      <c r="C3264" t="s">
        <v>2258</v>
      </c>
      <c r="E3264" t="s">
        <v>12709</v>
      </c>
      <c r="F3264">
        <v>3360</v>
      </c>
      <c r="G3264" t="s">
        <v>35</v>
      </c>
      <c r="H3264" t="s">
        <v>16</v>
      </c>
      <c r="I3264" t="s">
        <v>2912</v>
      </c>
      <c r="J3264" t="s">
        <v>2913</v>
      </c>
      <c r="K3264" t="s">
        <v>1809</v>
      </c>
      <c r="L3264" t="str">
        <f>HYPERLINK("https://business-monitor.ch/de/companies/1209940-lepra-mission-schweiz?utm_source=oberaargau","PROFIL ANSEHEN")</f>
        <v>PROFIL ANSEHEN</v>
      </c>
    </row>
    <row r="3265" spans="1:12" x14ac:dyDescent="0.2">
      <c r="A3265" t="s">
        <v>12516</v>
      </c>
      <c r="B3265" t="s">
        <v>12517</v>
      </c>
      <c r="C3265" t="s">
        <v>1812</v>
      </c>
      <c r="E3265" t="s">
        <v>4540</v>
      </c>
      <c r="F3265">
        <v>3360</v>
      </c>
      <c r="G3265" t="s">
        <v>35</v>
      </c>
      <c r="H3265" t="s">
        <v>16</v>
      </c>
      <c r="I3265" t="s">
        <v>1818</v>
      </c>
      <c r="J3265" t="s">
        <v>1819</v>
      </c>
      <c r="K3265" t="s">
        <v>1809</v>
      </c>
      <c r="L3265" t="str">
        <f>HYPERLINK("https://business-monitor.ch/de/companies/1209694-schweizerische-mobiliar-versicherungsgesellschaft-generalagentur-herzogenbuchsee-sascha-buettler?utm_source=oberaargau","PROFIL ANSEHEN")</f>
        <v>PROFIL ANSEHEN</v>
      </c>
    </row>
    <row r="3266" spans="1:12" x14ac:dyDescent="0.2">
      <c r="A3266" t="s">
        <v>12518</v>
      </c>
      <c r="B3266" t="s">
        <v>12519</v>
      </c>
      <c r="C3266" t="s">
        <v>1812</v>
      </c>
      <c r="E3266" t="s">
        <v>12520</v>
      </c>
      <c r="F3266">
        <v>4900</v>
      </c>
      <c r="G3266" t="s">
        <v>41</v>
      </c>
      <c r="H3266" t="s">
        <v>16</v>
      </c>
      <c r="I3266" t="s">
        <v>4205</v>
      </c>
      <c r="J3266" t="s">
        <v>4206</v>
      </c>
      <c r="K3266" t="s">
        <v>1809</v>
      </c>
      <c r="L3266" t="str">
        <f>HYPERLINK("https://business-monitor.ch/de/companies/1206835-rita-s-kiosk-inh-kuenzi?utm_source=oberaargau","PROFIL ANSEHEN")</f>
        <v>PROFIL ANSEHEN</v>
      </c>
    </row>
    <row r="3267" spans="1:12" x14ac:dyDescent="0.2">
      <c r="A3267" t="s">
        <v>12521</v>
      </c>
      <c r="B3267" t="s">
        <v>12522</v>
      </c>
      <c r="C3267" t="s">
        <v>202</v>
      </c>
      <c r="E3267" t="s">
        <v>12523</v>
      </c>
      <c r="F3267">
        <v>4922</v>
      </c>
      <c r="G3267" t="s">
        <v>99</v>
      </c>
      <c r="H3267" t="s">
        <v>16</v>
      </c>
      <c r="I3267" t="s">
        <v>157</v>
      </c>
      <c r="J3267" t="s">
        <v>158</v>
      </c>
      <c r="K3267" t="s">
        <v>1809</v>
      </c>
      <c r="L3267" t="str">
        <f>HYPERLINK("https://business-monitor.ch/de/companies/1209958-sj-realinvest-gmbh?utm_source=oberaargau","PROFIL ANSEHEN")</f>
        <v>PROFIL ANSEHEN</v>
      </c>
    </row>
    <row r="3268" spans="1:12" x14ac:dyDescent="0.2">
      <c r="A3268" t="s">
        <v>12611</v>
      </c>
      <c r="B3268" t="s">
        <v>12612</v>
      </c>
      <c r="C3268" t="s">
        <v>1812</v>
      </c>
      <c r="E3268" t="s">
        <v>12613</v>
      </c>
      <c r="F3268">
        <v>4913</v>
      </c>
      <c r="G3268" t="s">
        <v>207</v>
      </c>
      <c r="H3268" t="s">
        <v>16</v>
      </c>
      <c r="I3268" t="s">
        <v>2748</v>
      </c>
      <c r="J3268" t="s">
        <v>2749</v>
      </c>
      <c r="K3268" t="s">
        <v>1809</v>
      </c>
      <c r="L3268" t="str">
        <f>HYPERLINK("https://business-monitor.ch/de/companies/1208519-bluehende-seele-stefanie-zurflueh?utm_source=oberaargau","PROFIL ANSEHEN")</f>
        <v>PROFIL ANSEHEN</v>
      </c>
    </row>
    <row r="3269" spans="1:12" x14ac:dyDescent="0.2">
      <c r="A3269" t="s">
        <v>12614</v>
      </c>
      <c r="B3269" t="s">
        <v>12615</v>
      </c>
      <c r="C3269" t="s">
        <v>202</v>
      </c>
      <c r="E3269" t="s">
        <v>9174</v>
      </c>
      <c r="F3269">
        <v>4934</v>
      </c>
      <c r="G3269" t="s">
        <v>670</v>
      </c>
      <c r="H3269" t="s">
        <v>16</v>
      </c>
      <c r="I3269" t="s">
        <v>718</v>
      </c>
      <c r="J3269" t="s">
        <v>719</v>
      </c>
      <c r="K3269" t="s">
        <v>1809</v>
      </c>
      <c r="L3269" t="str">
        <f>HYPERLINK("https://business-monitor.ch/de/companies/1206421-lustenberger-reisen-gmbh?utm_source=oberaargau","PROFIL ANSEHEN")</f>
        <v>PROFIL ANSEHEN</v>
      </c>
    </row>
    <row r="3270" spans="1:12" x14ac:dyDescent="0.2">
      <c r="A3270" t="s">
        <v>12716</v>
      </c>
      <c r="B3270" t="s">
        <v>12717</v>
      </c>
      <c r="C3270" t="s">
        <v>13</v>
      </c>
      <c r="D3270" t="s">
        <v>12718</v>
      </c>
      <c r="E3270" t="s">
        <v>678</v>
      </c>
      <c r="F3270">
        <v>3360</v>
      </c>
      <c r="G3270" t="s">
        <v>35</v>
      </c>
      <c r="H3270" t="s">
        <v>16</v>
      </c>
      <c r="I3270" t="s">
        <v>182</v>
      </c>
      <c r="J3270" t="s">
        <v>183</v>
      </c>
      <c r="K3270" t="s">
        <v>1809</v>
      </c>
      <c r="L3270" t="str">
        <f>HYPERLINK("https://business-monitor.ch/de/companies/1204496-raess-holding-ag?utm_source=oberaargau","PROFIL ANSEHEN")</f>
        <v>PROFIL ANSEHEN</v>
      </c>
    </row>
    <row r="3271" spans="1:12" x14ac:dyDescent="0.2">
      <c r="A3271" t="s">
        <v>12719</v>
      </c>
      <c r="B3271" t="s">
        <v>12720</v>
      </c>
      <c r="C3271" t="s">
        <v>1812</v>
      </c>
      <c r="E3271" t="s">
        <v>12721</v>
      </c>
      <c r="F3271">
        <v>4934</v>
      </c>
      <c r="G3271" t="s">
        <v>670</v>
      </c>
      <c r="H3271" t="s">
        <v>16</v>
      </c>
      <c r="I3271" t="s">
        <v>4205</v>
      </c>
      <c r="J3271" t="s">
        <v>4206</v>
      </c>
      <c r="K3271" t="s">
        <v>1809</v>
      </c>
      <c r="L3271" t="str">
        <f>HYPERLINK("https://business-monitor.ch/de/companies/1203078-kiosk-ayouni?utm_source=oberaargau","PROFIL ANSEHEN")</f>
        <v>PROFIL ANSEHEN</v>
      </c>
    </row>
    <row r="3272" spans="1:12" x14ac:dyDescent="0.2">
      <c r="A3272" t="s">
        <v>4406</v>
      </c>
      <c r="B3272" t="s">
        <v>12121</v>
      </c>
      <c r="C3272" t="s">
        <v>13</v>
      </c>
      <c r="E3272" t="s">
        <v>4407</v>
      </c>
      <c r="F3272">
        <v>4922</v>
      </c>
      <c r="G3272" t="s">
        <v>99</v>
      </c>
      <c r="H3272" t="s">
        <v>16</v>
      </c>
      <c r="I3272" t="s">
        <v>486</v>
      </c>
      <c r="J3272" t="s">
        <v>487</v>
      </c>
      <c r="K3272" t="s">
        <v>1809</v>
      </c>
      <c r="L3272" t="str">
        <f>HYPERLINK("https://business-monitor.ch/de/companies/939568-feriz-ag?utm_source=oberaargau","PROFIL ANSEHEN")</f>
        <v>PROFIL ANSEHEN</v>
      </c>
    </row>
    <row r="3273" spans="1:12" x14ac:dyDescent="0.2">
      <c r="A3273" t="s">
        <v>12535</v>
      </c>
      <c r="B3273" t="s">
        <v>12536</v>
      </c>
      <c r="C3273" t="s">
        <v>1812</v>
      </c>
      <c r="E3273" t="s">
        <v>12537</v>
      </c>
      <c r="F3273">
        <v>3367</v>
      </c>
      <c r="G3273" t="s">
        <v>455</v>
      </c>
      <c r="H3273" t="s">
        <v>16</v>
      </c>
      <c r="I3273" t="s">
        <v>1835</v>
      </c>
      <c r="J3273" t="s">
        <v>1836</v>
      </c>
      <c r="K3273" t="s">
        <v>1809</v>
      </c>
      <c r="L3273" t="str">
        <f>HYPERLINK("https://business-monitor.ch/de/companies/1201760-supersauber-anita-wrobel?utm_source=oberaargau","PROFIL ANSEHEN")</f>
        <v>PROFIL ANSEHEN</v>
      </c>
    </row>
    <row r="3274" spans="1:12" x14ac:dyDescent="0.2">
      <c r="A3274" t="s">
        <v>13929</v>
      </c>
      <c r="B3274" t="s">
        <v>13930</v>
      </c>
      <c r="C3274" t="s">
        <v>202</v>
      </c>
      <c r="E3274" t="s">
        <v>12029</v>
      </c>
      <c r="F3274">
        <v>4900</v>
      </c>
      <c r="G3274" t="s">
        <v>41</v>
      </c>
      <c r="H3274" t="s">
        <v>16</v>
      </c>
      <c r="I3274" t="s">
        <v>1485</v>
      </c>
      <c r="J3274" t="s">
        <v>1486</v>
      </c>
      <c r="K3274" t="s">
        <v>1809</v>
      </c>
      <c r="L3274" t="str">
        <f>HYPERLINK("https://business-monitor.ch/de/companies/1208284-smaragd-massage-gmbh?utm_source=oberaargau","PROFIL ANSEHEN")</f>
        <v>PROFIL ANSEHEN</v>
      </c>
    </row>
    <row r="3275" spans="1:12" x14ac:dyDescent="0.2">
      <c r="A3275" t="s">
        <v>5893</v>
      </c>
      <c r="B3275" t="s">
        <v>5894</v>
      </c>
      <c r="C3275" t="s">
        <v>13</v>
      </c>
      <c r="E3275" t="s">
        <v>5895</v>
      </c>
      <c r="F3275">
        <v>4900</v>
      </c>
      <c r="G3275" t="s">
        <v>41</v>
      </c>
      <c r="H3275" t="s">
        <v>16</v>
      </c>
      <c r="I3275" t="s">
        <v>2337</v>
      </c>
      <c r="J3275" t="s">
        <v>2338</v>
      </c>
      <c r="K3275" t="s">
        <v>1809</v>
      </c>
      <c r="L3275" t="str">
        <f>HYPERLINK("https://business-monitor.ch/de/companies/930167-variant-perception-ventures-ag?utm_source=oberaargau","PROFIL ANSEHEN")</f>
        <v>PROFIL ANSEHEN</v>
      </c>
    </row>
    <row r="3276" spans="1:12" x14ac:dyDescent="0.2">
      <c r="A3276" t="s">
        <v>6756</v>
      </c>
      <c r="B3276" t="s">
        <v>6757</v>
      </c>
      <c r="C3276" t="s">
        <v>13</v>
      </c>
      <c r="E3276" t="s">
        <v>2634</v>
      </c>
      <c r="F3276">
        <v>4932</v>
      </c>
      <c r="G3276" t="s">
        <v>325</v>
      </c>
      <c r="H3276" t="s">
        <v>16</v>
      </c>
      <c r="I3276" t="s">
        <v>232</v>
      </c>
      <c r="J3276" t="s">
        <v>233</v>
      </c>
      <c r="K3276" t="s">
        <v>1809</v>
      </c>
      <c r="L3276" t="str">
        <f>HYPERLINK("https://business-monitor.ch/de/companies/120282-btv-ag?utm_source=oberaargau","PROFIL ANSEHEN")</f>
        <v>PROFIL ANSEHEN</v>
      </c>
    </row>
    <row r="3277" spans="1:12" x14ac:dyDescent="0.2">
      <c r="A3277" t="s">
        <v>3533</v>
      </c>
      <c r="B3277" t="s">
        <v>3534</v>
      </c>
      <c r="C3277" t="s">
        <v>1812</v>
      </c>
      <c r="E3277" t="s">
        <v>3535</v>
      </c>
      <c r="F3277">
        <v>4934</v>
      </c>
      <c r="G3277" t="s">
        <v>670</v>
      </c>
      <c r="H3277" t="s">
        <v>16</v>
      </c>
      <c r="I3277" t="s">
        <v>331</v>
      </c>
      <c r="J3277" t="s">
        <v>332</v>
      </c>
      <c r="K3277" t="s">
        <v>1809</v>
      </c>
      <c r="L3277" t="str">
        <f>HYPERLINK("https://business-monitor.ch/de/companies/143014-hansueli-jordi?utm_source=oberaargau","PROFIL ANSEHEN")</f>
        <v>PROFIL ANSEHEN</v>
      </c>
    </row>
    <row r="3278" spans="1:12" x14ac:dyDescent="0.2">
      <c r="A3278" t="s">
        <v>6681</v>
      </c>
      <c r="B3278" t="s">
        <v>6682</v>
      </c>
      <c r="C3278" t="s">
        <v>202</v>
      </c>
      <c r="E3278" t="s">
        <v>6683</v>
      </c>
      <c r="F3278">
        <v>4954</v>
      </c>
      <c r="G3278" t="s">
        <v>359</v>
      </c>
      <c r="H3278" t="s">
        <v>16</v>
      </c>
      <c r="I3278" t="s">
        <v>1470</v>
      </c>
      <c r="J3278" t="s">
        <v>1471</v>
      </c>
      <c r="K3278" t="s">
        <v>1809</v>
      </c>
      <c r="L3278" t="str">
        <f>HYPERLINK("https://business-monitor.ch/de/companies/173460-minder-gmbh-wyssachen?utm_source=oberaargau","PROFIL ANSEHEN")</f>
        <v>PROFIL ANSEHEN</v>
      </c>
    </row>
    <row r="3279" spans="1:12" x14ac:dyDescent="0.2">
      <c r="A3279" t="s">
        <v>2344</v>
      </c>
      <c r="B3279" t="s">
        <v>2345</v>
      </c>
      <c r="C3279" t="s">
        <v>1812</v>
      </c>
      <c r="E3279" t="s">
        <v>2346</v>
      </c>
      <c r="F3279">
        <v>4950</v>
      </c>
      <c r="G3279" t="s">
        <v>15</v>
      </c>
      <c r="H3279" t="s">
        <v>16</v>
      </c>
      <c r="I3279" t="s">
        <v>2347</v>
      </c>
      <c r="J3279" t="s">
        <v>2348</v>
      </c>
      <c r="K3279" t="s">
        <v>1809</v>
      </c>
      <c r="L3279" t="str">
        <f>HYPERLINK("https://business-monitor.ch/de/companies/173805-herrenmode-muralt?utm_source=oberaargau","PROFIL ANSEHEN")</f>
        <v>PROFIL ANSEHEN</v>
      </c>
    </row>
    <row r="3280" spans="1:12" x14ac:dyDescent="0.2">
      <c r="A3280" t="s">
        <v>9094</v>
      </c>
      <c r="B3280" t="s">
        <v>9095</v>
      </c>
      <c r="C3280" t="s">
        <v>13</v>
      </c>
      <c r="E3280" t="s">
        <v>9096</v>
      </c>
      <c r="F3280">
        <v>3363</v>
      </c>
      <c r="G3280" t="s">
        <v>1367</v>
      </c>
      <c r="H3280" t="s">
        <v>16</v>
      </c>
      <c r="I3280" t="s">
        <v>748</v>
      </c>
      <c r="J3280" t="s">
        <v>749</v>
      </c>
      <c r="K3280" t="s">
        <v>1809</v>
      </c>
      <c r="L3280" t="str">
        <f>HYPERLINK("https://business-monitor.ch/de/companies/173760-stuber-althaus-ag?utm_source=oberaargau","PROFIL ANSEHEN")</f>
        <v>PROFIL ANSEHEN</v>
      </c>
    </row>
    <row r="3281" spans="1:12" x14ac:dyDescent="0.2">
      <c r="A3281" t="s">
        <v>1333</v>
      </c>
      <c r="B3281" t="s">
        <v>2342</v>
      </c>
      <c r="C3281" t="s">
        <v>1812</v>
      </c>
      <c r="E3281" t="s">
        <v>2343</v>
      </c>
      <c r="F3281">
        <v>3367</v>
      </c>
      <c r="G3281" t="s">
        <v>455</v>
      </c>
      <c r="H3281" t="s">
        <v>16</v>
      </c>
      <c r="I3281" t="s">
        <v>642</v>
      </c>
      <c r="J3281" t="s">
        <v>643</v>
      </c>
      <c r="K3281" t="s">
        <v>1809</v>
      </c>
      <c r="L3281" t="str">
        <f>HYPERLINK("https://business-monitor.ch/de/companies/173907-garage-p-schindler-jun?utm_source=oberaargau","PROFIL ANSEHEN")</f>
        <v>PROFIL ANSEHEN</v>
      </c>
    </row>
    <row r="3282" spans="1:12" x14ac:dyDescent="0.2">
      <c r="A3282" t="s">
        <v>9935</v>
      </c>
      <c r="B3282" t="s">
        <v>9936</v>
      </c>
      <c r="C3282" t="s">
        <v>1812</v>
      </c>
      <c r="E3282" t="s">
        <v>9937</v>
      </c>
      <c r="F3282">
        <v>4952</v>
      </c>
      <c r="G3282" t="s">
        <v>474</v>
      </c>
      <c r="H3282" t="s">
        <v>16</v>
      </c>
      <c r="I3282" t="s">
        <v>642</v>
      </c>
      <c r="J3282" t="s">
        <v>643</v>
      </c>
      <c r="K3282" t="s">
        <v>1809</v>
      </c>
      <c r="L3282" t="str">
        <f>HYPERLINK("https://business-monitor.ch/de/companies/952672-michael-ernst-adam?utm_source=oberaargau","PROFIL ANSEHEN")</f>
        <v>PROFIL ANSEHEN</v>
      </c>
    </row>
    <row r="3283" spans="1:12" x14ac:dyDescent="0.2">
      <c r="A3283" t="s">
        <v>6615</v>
      </c>
      <c r="B3283" t="s">
        <v>6616</v>
      </c>
      <c r="C3283" t="s">
        <v>1812</v>
      </c>
      <c r="E3283" t="s">
        <v>6617</v>
      </c>
      <c r="F3283">
        <v>4932</v>
      </c>
      <c r="G3283" t="s">
        <v>325</v>
      </c>
      <c r="H3283" t="s">
        <v>16</v>
      </c>
      <c r="I3283" t="s">
        <v>608</v>
      </c>
      <c r="J3283" t="s">
        <v>609</v>
      </c>
      <c r="K3283" t="s">
        <v>1809</v>
      </c>
      <c r="L3283" t="str">
        <f>HYPERLINK("https://business-monitor.ch/de/companies/199085-kaeser-martin?utm_source=oberaargau","PROFIL ANSEHEN")</f>
        <v>PROFIL ANSEHEN</v>
      </c>
    </row>
    <row r="3284" spans="1:12" x14ac:dyDescent="0.2">
      <c r="A3284" t="s">
        <v>6530</v>
      </c>
      <c r="B3284" t="s">
        <v>6531</v>
      </c>
      <c r="C3284" t="s">
        <v>1812</v>
      </c>
      <c r="E3284" t="s">
        <v>6532</v>
      </c>
      <c r="F3284">
        <v>4900</v>
      </c>
      <c r="G3284" t="s">
        <v>41</v>
      </c>
      <c r="H3284" t="s">
        <v>16</v>
      </c>
      <c r="I3284" t="s">
        <v>2748</v>
      </c>
      <c r="J3284" t="s">
        <v>2749</v>
      </c>
      <c r="K3284" t="s">
        <v>1809</v>
      </c>
      <c r="L3284" t="str">
        <f>HYPERLINK("https://business-monitor.ch/de/companies/235296-steel-dreams-bodypiercing-th-gloor?utm_source=oberaargau","PROFIL ANSEHEN")</f>
        <v>PROFIL ANSEHEN</v>
      </c>
    </row>
    <row r="3285" spans="1:12" x14ac:dyDescent="0.2">
      <c r="A3285" t="s">
        <v>9640</v>
      </c>
      <c r="B3285" t="s">
        <v>9641</v>
      </c>
      <c r="C3285" t="s">
        <v>202</v>
      </c>
      <c r="E3285" t="s">
        <v>9642</v>
      </c>
      <c r="F3285">
        <v>4900</v>
      </c>
      <c r="G3285" t="s">
        <v>41</v>
      </c>
      <c r="H3285" t="s">
        <v>16</v>
      </c>
      <c r="I3285" t="s">
        <v>2587</v>
      </c>
      <c r="J3285" t="s">
        <v>2588</v>
      </c>
      <c r="K3285" t="s">
        <v>1809</v>
      </c>
      <c r="L3285" t="str">
        <f>HYPERLINK("https://business-monitor.ch/de/companies/1032782-akubu-ch-gmbh?utm_source=oberaargau","PROFIL ANSEHEN")</f>
        <v>PROFIL ANSEHEN</v>
      </c>
    </row>
    <row r="3286" spans="1:12" x14ac:dyDescent="0.2">
      <c r="A3286" t="s">
        <v>12402</v>
      </c>
      <c r="B3286" t="s">
        <v>12403</v>
      </c>
      <c r="C3286" t="s">
        <v>202</v>
      </c>
      <c r="E3286" t="s">
        <v>12404</v>
      </c>
      <c r="F3286">
        <v>3362</v>
      </c>
      <c r="G3286" t="s">
        <v>47</v>
      </c>
      <c r="H3286" t="s">
        <v>16</v>
      </c>
      <c r="I3286" t="s">
        <v>4577</v>
      </c>
      <c r="J3286" t="s">
        <v>4578</v>
      </c>
      <c r="K3286" t="s">
        <v>1809</v>
      </c>
      <c r="L3286" t="str">
        <f>HYPERLINK("https://business-monitor.ch/de/companies/1198332-simonberger-art-gmbh?utm_source=oberaargau","PROFIL ANSEHEN")</f>
        <v>PROFIL ANSEHEN</v>
      </c>
    </row>
    <row r="3287" spans="1:12" x14ac:dyDescent="0.2">
      <c r="A3287" t="s">
        <v>9762</v>
      </c>
      <c r="B3287" t="s">
        <v>9763</v>
      </c>
      <c r="C3287" t="s">
        <v>1812</v>
      </c>
      <c r="E3287" t="s">
        <v>4581</v>
      </c>
      <c r="F3287">
        <v>3377</v>
      </c>
      <c r="G3287" t="s">
        <v>1307</v>
      </c>
      <c r="H3287" t="s">
        <v>16</v>
      </c>
      <c r="I3287" t="s">
        <v>1324</v>
      </c>
      <c r="J3287" t="s">
        <v>1325</v>
      </c>
      <c r="K3287" t="s">
        <v>1809</v>
      </c>
      <c r="L3287" t="str">
        <f>HYPERLINK("https://business-monitor.ch/de/companies/1028108-jed-jenni-deckensysteme?utm_source=oberaargau","PROFIL ANSEHEN")</f>
        <v>PROFIL ANSEHEN</v>
      </c>
    </row>
    <row r="3288" spans="1:12" x14ac:dyDescent="0.2">
      <c r="A3288" t="s">
        <v>9569</v>
      </c>
      <c r="B3288" t="s">
        <v>9570</v>
      </c>
      <c r="C3288" t="s">
        <v>2178</v>
      </c>
      <c r="E3288" t="s">
        <v>3922</v>
      </c>
      <c r="F3288">
        <v>4537</v>
      </c>
      <c r="G3288" t="s">
        <v>113</v>
      </c>
      <c r="H3288" t="s">
        <v>16</v>
      </c>
      <c r="I3288" t="s">
        <v>167</v>
      </c>
      <c r="J3288" t="s">
        <v>168</v>
      </c>
      <c r="K3288" t="s">
        <v>1809</v>
      </c>
      <c r="L3288" t="str">
        <f>HYPERLINK("https://business-monitor.ch/de/companies/1047799-affentranger-bau-ag?utm_source=oberaargau","PROFIL ANSEHEN")</f>
        <v>PROFIL ANSEHEN</v>
      </c>
    </row>
    <row r="3289" spans="1:12" x14ac:dyDescent="0.2">
      <c r="A3289" t="s">
        <v>4102</v>
      </c>
      <c r="B3289" t="s">
        <v>4103</v>
      </c>
      <c r="C3289" t="s">
        <v>1812</v>
      </c>
      <c r="E3289" t="s">
        <v>4104</v>
      </c>
      <c r="F3289">
        <v>3362</v>
      </c>
      <c r="G3289" t="s">
        <v>47</v>
      </c>
      <c r="H3289" t="s">
        <v>16</v>
      </c>
      <c r="I3289" t="s">
        <v>12729</v>
      </c>
      <c r="J3289" t="s">
        <v>12730</v>
      </c>
      <c r="K3289" t="s">
        <v>1809</v>
      </c>
      <c r="L3289" t="str">
        <f>HYPERLINK("https://business-monitor.ch/de/companies/1036327-creabelle-vo-haerze-vor-isa-duerrenmatt?utm_source=oberaargau","PROFIL ANSEHEN")</f>
        <v>PROFIL ANSEHEN</v>
      </c>
    </row>
    <row r="3290" spans="1:12" x14ac:dyDescent="0.2">
      <c r="A3290" t="s">
        <v>9789</v>
      </c>
      <c r="B3290" t="s">
        <v>9790</v>
      </c>
      <c r="C3290" t="s">
        <v>1812</v>
      </c>
      <c r="E3290" t="s">
        <v>3294</v>
      </c>
      <c r="F3290">
        <v>3360</v>
      </c>
      <c r="G3290" t="s">
        <v>35</v>
      </c>
      <c r="H3290" t="s">
        <v>16</v>
      </c>
      <c r="I3290" t="s">
        <v>2062</v>
      </c>
      <c r="J3290" t="s">
        <v>2063</v>
      </c>
      <c r="K3290" t="s">
        <v>1809</v>
      </c>
      <c r="L3290" t="str">
        <f>HYPERLINK("https://business-monitor.ch/de/companies/1019994-el-kurdi-services?utm_source=oberaargau","PROFIL ANSEHEN")</f>
        <v>PROFIL ANSEHEN</v>
      </c>
    </row>
    <row r="3291" spans="1:12" x14ac:dyDescent="0.2">
      <c r="A3291" t="s">
        <v>13691</v>
      </c>
      <c r="B3291" t="s">
        <v>13692</v>
      </c>
      <c r="C3291" t="s">
        <v>1812</v>
      </c>
      <c r="E3291" t="s">
        <v>7865</v>
      </c>
      <c r="F3291">
        <v>3380</v>
      </c>
      <c r="G3291" t="s">
        <v>29</v>
      </c>
      <c r="H3291" t="s">
        <v>16</v>
      </c>
      <c r="I3291" t="s">
        <v>1485</v>
      </c>
      <c r="J3291" t="s">
        <v>1486</v>
      </c>
      <c r="K3291" t="s">
        <v>1809</v>
      </c>
      <c r="L3291" t="str">
        <f>HYPERLINK("https://business-monitor.ch/de/companies/1045172-como-en-casa-moyano-manduca?utm_source=oberaargau","PROFIL ANSEHEN")</f>
        <v>PROFIL ANSEHEN</v>
      </c>
    </row>
    <row r="3292" spans="1:12" x14ac:dyDescent="0.2">
      <c r="A3292" t="s">
        <v>9768</v>
      </c>
      <c r="B3292" t="s">
        <v>9769</v>
      </c>
      <c r="C3292" t="s">
        <v>13</v>
      </c>
      <c r="E3292" t="s">
        <v>3151</v>
      </c>
      <c r="F3292">
        <v>4922</v>
      </c>
      <c r="G3292" t="s">
        <v>99</v>
      </c>
      <c r="H3292" t="s">
        <v>16</v>
      </c>
      <c r="I3292" t="s">
        <v>935</v>
      </c>
      <c r="J3292" t="s">
        <v>936</v>
      </c>
      <c r="K3292" t="s">
        <v>1809</v>
      </c>
      <c r="L3292" t="str">
        <f>HYPERLINK("https://business-monitor.ch/de/companies/1026359-fnx-immobilien-ag?utm_source=oberaargau","PROFIL ANSEHEN")</f>
        <v>PROFIL ANSEHEN</v>
      </c>
    </row>
    <row r="3293" spans="1:12" x14ac:dyDescent="0.2">
      <c r="A3293" t="s">
        <v>11471</v>
      </c>
      <c r="B3293" t="s">
        <v>11472</v>
      </c>
      <c r="C3293" t="s">
        <v>202</v>
      </c>
      <c r="E3293" t="s">
        <v>4195</v>
      </c>
      <c r="F3293">
        <v>4923</v>
      </c>
      <c r="G3293" t="s">
        <v>732</v>
      </c>
      <c r="H3293" t="s">
        <v>16</v>
      </c>
      <c r="I3293" t="s">
        <v>507</v>
      </c>
      <c r="J3293" t="s">
        <v>508</v>
      </c>
      <c r="K3293" t="s">
        <v>1809</v>
      </c>
      <c r="L3293" t="str">
        <f>HYPERLINK("https://business-monitor.ch/de/companies/1141952-celtra-food-production-gmbh?utm_source=oberaargau","PROFIL ANSEHEN")</f>
        <v>PROFIL ANSEHEN</v>
      </c>
    </row>
    <row r="3294" spans="1:12" x14ac:dyDescent="0.2">
      <c r="A3294" t="s">
        <v>11196</v>
      </c>
      <c r="B3294" t="s">
        <v>11197</v>
      </c>
      <c r="C3294" t="s">
        <v>13</v>
      </c>
      <c r="E3294" t="s">
        <v>5300</v>
      </c>
      <c r="F3294">
        <v>4900</v>
      </c>
      <c r="G3294" t="s">
        <v>41</v>
      </c>
      <c r="H3294" t="s">
        <v>16</v>
      </c>
      <c r="I3294" t="s">
        <v>1324</v>
      </c>
      <c r="J3294" t="s">
        <v>1325</v>
      </c>
      <c r="K3294" t="s">
        <v>1809</v>
      </c>
      <c r="L3294" t="str">
        <f>HYPERLINK("https://business-monitor.ch/de/companies/1137264-andres-kuechen-langenthal-ag?utm_source=oberaargau","PROFIL ANSEHEN")</f>
        <v>PROFIL ANSEHEN</v>
      </c>
    </row>
    <row r="3295" spans="1:12" x14ac:dyDescent="0.2">
      <c r="A3295" t="s">
        <v>10502</v>
      </c>
      <c r="B3295" t="s">
        <v>10503</v>
      </c>
      <c r="C3295" t="s">
        <v>1812</v>
      </c>
      <c r="E3295" t="s">
        <v>10504</v>
      </c>
      <c r="F3295">
        <v>4900</v>
      </c>
      <c r="G3295" t="s">
        <v>41</v>
      </c>
      <c r="H3295" t="s">
        <v>16</v>
      </c>
      <c r="I3295" t="s">
        <v>2226</v>
      </c>
      <c r="J3295" t="s">
        <v>2227</v>
      </c>
      <c r="K3295" t="s">
        <v>1809</v>
      </c>
      <c r="L3295" t="str">
        <f>HYPERLINK("https://business-monitor.ch/de/companies/332767-physiotherapie-barbara-meyer-kohler?utm_source=oberaargau","PROFIL ANSEHEN")</f>
        <v>PROFIL ANSEHEN</v>
      </c>
    </row>
    <row r="3296" spans="1:12" x14ac:dyDescent="0.2">
      <c r="A3296" t="s">
        <v>7176</v>
      </c>
      <c r="B3296" t="s">
        <v>7177</v>
      </c>
      <c r="C3296" t="s">
        <v>202</v>
      </c>
      <c r="D3296" t="s">
        <v>7178</v>
      </c>
      <c r="E3296" t="s">
        <v>7179</v>
      </c>
      <c r="F3296">
        <v>4950</v>
      </c>
      <c r="G3296" t="s">
        <v>15</v>
      </c>
      <c r="H3296" t="s">
        <v>16</v>
      </c>
      <c r="I3296" t="s">
        <v>4577</v>
      </c>
      <c r="J3296" t="s">
        <v>4578</v>
      </c>
      <c r="K3296" t="s">
        <v>1809</v>
      </c>
      <c r="L3296" t="str">
        <f>HYPERLINK("https://business-monitor.ch/de/companies/591240-bild-huttwil-gmbh?utm_source=oberaargau","PROFIL ANSEHEN")</f>
        <v>PROFIL ANSEHEN</v>
      </c>
    </row>
    <row r="3297" spans="1:12" x14ac:dyDescent="0.2">
      <c r="A3297" t="s">
        <v>3063</v>
      </c>
      <c r="B3297" t="s">
        <v>3064</v>
      </c>
      <c r="C3297" t="s">
        <v>202</v>
      </c>
      <c r="E3297" t="s">
        <v>2873</v>
      </c>
      <c r="F3297">
        <v>4538</v>
      </c>
      <c r="G3297" t="s">
        <v>71</v>
      </c>
      <c r="H3297" t="s">
        <v>16</v>
      </c>
      <c r="I3297" t="s">
        <v>955</v>
      </c>
      <c r="J3297" t="s">
        <v>956</v>
      </c>
      <c r="K3297" t="s">
        <v>1809</v>
      </c>
      <c r="L3297" t="str">
        <f>HYPERLINK("https://business-monitor.ch/de/companies/343327-bb-bitumen-gmbh?utm_source=oberaargau","PROFIL ANSEHEN")</f>
        <v>PROFIL ANSEHEN</v>
      </c>
    </row>
    <row r="3298" spans="1:12" x14ac:dyDescent="0.2">
      <c r="A3298" t="s">
        <v>8502</v>
      </c>
      <c r="B3298" t="s">
        <v>8503</v>
      </c>
      <c r="C3298" t="s">
        <v>202</v>
      </c>
      <c r="E3298" t="s">
        <v>4474</v>
      </c>
      <c r="F3298">
        <v>4923</v>
      </c>
      <c r="G3298" t="s">
        <v>732</v>
      </c>
      <c r="H3298" t="s">
        <v>16</v>
      </c>
      <c r="I3298" t="s">
        <v>1267</v>
      </c>
      <c r="J3298" t="s">
        <v>1268</v>
      </c>
      <c r="K3298" t="s">
        <v>1809</v>
      </c>
      <c r="L3298" t="str">
        <f>HYPERLINK("https://business-monitor.ch/de/companies/509086-pamakin-gmbh?utm_source=oberaargau","PROFIL ANSEHEN")</f>
        <v>PROFIL ANSEHEN</v>
      </c>
    </row>
    <row r="3299" spans="1:12" x14ac:dyDescent="0.2">
      <c r="A3299" t="s">
        <v>2461</v>
      </c>
      <c r="B3299" t="s">
        <v>2462</v>
      </c>
      <c r="C3299" t="s">
        <v>13</v>
      </c>
      <c r="E3299" t="s">
        <v>2463</v>
      </c>
      <c r="F3299">
        <v>3380</v>
      </c>
      <c r="G3299" t="s">
        <v>29</v>
      </c>
      <c r="H3299" t="s">
        <v>16</v>
      </c>
      <c r="I3299" t="s">
        <v>1446</v>
      </c>
      <c r="J3299" t="s">
        <v>1447</v>
      </c>
      <c r="K3299" t="s">
        <v>1809</v>
      </c>
      <c r="L3299" t="str">
        <f>HYPERLINK("https://business-monitor.ch/de/companies/517516-rosenast-haustechnik-ag?utm_source=oberaargau","PROFIL ANSEHEN")</f>
        <v>PROFIL ANSEHEN</v>
      </c>
    </row>
    <row r="3300" spans="1:12" x14ac:dyDescent="0.2">
      <c r="A3300" t="s">
        <v>2185</v>
      </c>
      <c r="B3300" t="s">
        <v>2186</v>
      </c>
      <c r="C3300" t="s">
        <v>1812</v>
      </c>
      <c r="E3300" t="s">
        <v>226</v>
      </c>
      <c r="F3300">
        <v>4912</v>
      </c>
      <c r="G3300" t="s">
        <v>64</v>
      </c>
      <c r="H3300" t="s">
        <v>16</v>
      </c>
      <c r="I3300" t="s">
        <v>2187</v>
      </c>
      <c r="J3300" t="s">
        <v>2188</v>
      </c>
      <c r="K3300" t="s">
        <v>1809</v>
      </c>
      <c r="L3300" t="str">
        <f>HYPERLINK("https://business-monitor.ch/de/companies/1079812-brocki-schnaeppli-m-nyffeler?utm_source=oberaargau","PROFIL ANSEHEN")</f>
        <v>PROFIL ANSEHEN</v>
      </c>
    </row>
    <row r="3301" spans="1:12" x14ac:dyDescent="0.2">
      <c r="A3301" t="s">
        <v>3953</v>
      </c>
      <c r="B3301" t="s">
        <v>11406</v>
      </c>
      <c r="C3301" t="s">
        <v>1922</v>
      </c>
      <c r="D3301" t="s">
        <v>3954</v>
      </c>
      <c r="E3301" t="s">
        <v>3955</v>
      </c>
      <c r="F3301">
        <v>4900</v>
      </c>
      <c r="G3301" t="s">
        <v>41</v>
      </c>
      <c r="H3301" t="s">
        <v>16</v>
      </c>
      <c r="I3301" t="s">
        <v>3272</v>
      </c>
      <c r="J3301" t="s">
        <v>3273</v>
      </c>
      <c r="K3301" t="s">
        <v>1809</v>
      </c>
      <c r="L3301" t="str">
        <f>HYPERLINK("https://business-monitor.ch/de/companies/1053082-roemisch-katholische-kirchenstiftung-oberaargau?utm_source=oberaargau","PROFIL ANSEHEN")</f>
        <v>PROFIL ANSEHEN</v>
      </c>
    </row>
    <row r="3302" spans="1:12" x14ac:dyDescent="0.2">
      <c r="A3302" t="s">
        <v>8015</v>
      </c>
      <c r="B3302" t="s">
        <v>8016</v>
      </c>
      <c r="C3302" t="s">
        <v>13</v>
      </c>
      <c r="E3302" t="s">
        <v>8017</v>
      </c>
      <c r="F3302">
        <v>4900</v>
      </c>
      <c r="G3302" t="s">
        <v>41</v>
      </c>
      <c r="H3302" t="s">
        <v>16</v>
      </c>
      <c r="I3302" t="s">
        <v>613</v>
      </c>
      <c r="J3302" t="s">
        <v>614</v>
      </c>
      <c r="K3302" t="s">
        <v>1809</v>
      </c>
      <c r="L3302" t="str">
        <f>HYPERLINK("https://business-monitor.ch/de/companies/1086324-velo-galerie-luethi-ag?utm_source=oberaargau","PROFIL ANSEHEN")</f>
        <v>PROFIL ANSEHEN</v>
      </c>
    </row>
    <row r="3303" spans="1:12" x14ac:dyDescent="0.2">
      <c r="A3303" t="s">
        <v>5358</v>
      </c>
      <c r="B3303" t="s">
        <v>5359</v>
      </c>
      <c r="C3303" t="s">
        <v>2258</v>
      </c>
      <c r="E3303" t="s">
        <v>5360</v>
      </c>
      <c r="F3303">
        <v>4950</v>
      </c>
      <c r="G3303" t="s">
        <v>15</v>
      </c>
      <c r="H3303" t="s">
        <v>16</v>
      </c>
      <c r="I3303" t="s">
        <v>640</v>
      </c>
      <c r="J3303" t="s">
        <v>641</v>
      </c>
      <c r="K3303" t="s">
        <v>1809</v>
      </c>
      <c r="L3303" t="str">
        <f>HYPERLINK("https://business-monitor.ch/de/companies/1085228-leobe?utm_source=oberaargau","PROFIL ANSEHEN")</f>
        <v>PROFIL ANSEHEN</v>
      </c>
    </row>
    <row r="3304" spans="1:12" x14ac:dyDescent="0.2">
      <c r="A3304" t="s">
        <v>8106</v>
      </c>
      <c r="B3304" t="s">
        <v>8107</v>
      </c>
      <c r="C3304" t="s">
        <v>1812</v>
      </c>
      <c r="E3304" t="s">
        <v>1967</v>
      </c>
      <c r="F3304">
        <v>4900</v>
      </c>
      <c r="G3304" t="s">
        <v>41</v>
      </c>
      <c r="H3304" t="s">
        <v>16</v>
      </c>
      <c r="I3304" t="s">
        <v>1401</v>
      </c>
      <c r="J3304" t="s">
        <v>1402</v>
      </c>
      <c r="K3304" t="s">
        <v>1809</v>
      </c>
      <c r="L3304" t="str">
        <f>HYPERLINK("https://business-monitor.ch/de/companies/1058828-beatrice-kuert-abcd?utm_source=oberaargau","PROFIL ANSEHEN")</f>
        <v>PROFIL ANSEHEN</v>
      </c>
    </row>
    <row r="3305" spans="1:12" x14ac:dyDescent="0.2">
      <c r="A3305" t="s">
        <v>10616</v>
      </c>
      <c r="B3305" t="s">
        <v>10617</v>
      </c>
      <c r="C3305" t="s">
        <v>1812</v>
      </c>
      <c r="E3305" t="s">
        <v>10618</v>
      </c>
      <c r="F3305">
        <v>4900</v>
      </c>
      <c r="G3305" t="s">
        <v>41</v>
      </c>
      <c r="H3305" t="s">
        <v>16</v>
      </c>
      <c r="I3305" t="s">
        <v>260</v>
      </c>
      <c r="J3305" t="s">
        <v>261</v>
      </c>
      <c r="K3305" t="s">
        <v>1809</v>
      </c>
      <c r="L3305" t="str">
        <f>HYPERLINK("https://business-monitor.ch/de/companies/1086042-minder-architecture?utm_source=oberaargau","PROFIL ANSEHEN")</f>
        <v>PROFIL ANSEHEN</v>
      </c>
    </row>
    <row r="3306" spans="1:12" x14ac:dyDescent="0.2">
      <c r="A3306" t="s">
        <v>11664</v>
      </c>
      <c r="B3306" t="s">
        <v>11665</v>
      </c>
      <c r="C3306" t="s">
        <v>202</v>
      </c>
      <c r="E3306" t="s">
        <v>2862</v>
      </c>
      <c r="F3306">
        <v>4900</v>
      </c>
      <c r="G3306" t="s">
        <v>41</v>
      </c>
      <c r="H3306" t="s">
        <v>16</v>
      </c>
      <c r="I3306" t="s">
        <v>91</v>
      </c>
      <c r="J3306" t="s">
        <v>92</v>
      </c>
      <c r="K3306" t="s">
        <v>1809</v>
      </c>
      <c r="L3306" t="str">
        <f>HYPERLINK("https://business-monitor.ch/de/companies/1079041-erli-transporte-gmbh?utm_source=oberaargau","PROFIL ANSEHEN")</f>
        <v>PROFIL ANSEHEN</v>
      </c>
    </row>
    <row r="3307" spans="1:12" x14ac:dyDescent="0.2">
      <c r="A3307" t="s">
        <v>2199</v>
      </c>
      <c r="B3307" t="s">
        <v>2200</v>
      </c>
      <c r="C3307" t="s">
        <v>202</v>
      </c>
      <c r="E3307" t="s">
        <v>2201</v>
      </c>
      <c r="F3307">
        <v>3360</v>
      </c>
      <c r="G3307" t="s">
        <v>35</v>
      </c>
      <c r="H3307" t="s">
        <v>16</v>
      </c>
      <c r="I3307" t="s">
        <v>144</v>
      </c>
      <c r="J3307" t="s">
        <v>145</v>
      </c>
      <c r="K3307" t="s">
        <v>1809</v>
      </c>
      <c r="L3307" t="str">
        <f>HYPERLINK("https://business-monitor.ch/de/companies/1071376-dr-objekt-gmbh?utm_source=oberaargau","PROFIL ANSEHEN")</f>
        <v>PROFIL ANSEHEN</v>
      </c>
    </row>
    <row r="3308" spans="1:12" x14ac:dyDescent="0.2">
      <c r="A3308" t="s">
        <v>11369</v>
      </c>
      <c r="B3308" t="s">
        <v>11370</v>
      </c>
      <c r="C3308" t="s">
        <v>202</v>
      </c>
      <c r="E3308" t="s">
        <v>6125</v>
      </c>
      <c r="F3308">
        <v>4704</v>
      </c>
      <c r="G3308" t="s">
        <v>221</v>
      </c>
      <c r="H3308" t="s">
        <v>16</v>
      </c>
      <c r="I3308" t="s">
        <v>4039</v>
      </c>
      <c r="J3308" t="s">
        <v>4040</v>
      </c>
      <c r="K3308" t="s">
        <v>1809</v>
      </c>
      <c r="L3308" t="str">
        <f>HYPERLINK("https://business-monitor.ch/de/companies/1134549-aura-fitness-mt-gmbh?utm_source=oberaargau","PROFIL ANSEHEN")</f>
        <v>PROFIL ANSEHEN</v>
      </c>
    </row>
    <row r="3309" spans="1:12" x14ac:dyDescent="0.2">
      <c r="A3309" t="s">
        <v>3835</v>
      </c>
      <c r="B3309" t="s">
        <v>3836</v>
      </c>
      <c r="C3309" t="s">
        <v>202</v>
      </c>
      <c r="E3309" t="s">
        <v>3837</v>
      </c>
      <c r="F3309">
        <v>3380</v>
      </c>
      <c r="G3309" t="s">
        <v>29</v>
      </c>
      <c r="H3309" t="s">
        <v>16</v>
      </c>
      <c r="I3309" t="s">
        <v>3838</v>
      </c>
      <c r="J3309" t="s">
        <v>3839</v>
      </c>
      <c r="K3309" t="s">
        <v>1809</v>
      </c>
      <c r="L3309" t="str">
        <f>HYPERLINK("https://business-monitor.ch/de/companies/687739-luwi-wangen-gmbh?utm_source=oberaargau","PROFIL ANSEHEN")</f>
        <v>PROFIL ANSEHEN</v>
      </c>
    </row>
    <row r="3310" spans="1:12" x14ac:dyDescent="0.2">
      <c r="A3310" t="s">
        <v>6496</v>
      </c>
      <c r="B3310" t="s">
        <v>6497</v>
      </c>
      <c r="C3310" t="s">
        <v>1812</v>
      </c>
      <c r="E3310" t="s">
        <v>6498</v>
      </c>
      <c r="F3310">
        <v>4917</v>
      </c>
      <c r="G3310" t="s">
        <v>376</v>
      </c>
      <c r="H3310" t="s">
        <v>16</v>
      </c>
      <c r="I3310" t="s">
        <v>10263</v>
      </c>
      <c r="J3310" t="s">
        <v>10264</v>
      </c>
      <c r="K3310" t="s">
        <v>1809</v>
      </c>
      <c r="L3310" t="str">
        <f>HYPERLINK("https://business-monitor.ch/de/companies/250828-huegli-kommunikation?utm_source=oberaargau","PROFIL ANSEHEN")</f>
        <v>PROFIL ANSEHEN</v>
      </c>
    </row>
    <row r="3311" spans="1:12" x14ac:dyDescent="0.2">
      <c r="A3311" t="s">
        <v>3251</v>
      </c>
      <c r="B3311" t="s">
        <v>3252</v>
      </c>
      <c r="C3311" t="s">
        <v>1812</v>
      </c>
      <c r="E3311" t="s">
        <v>14449</v>
      </c>
      <c r="F3311">
        <v>4938</v>
      </c>
      <c r="G3311" t="s">
        <v>618</v>
      </c>
      <c r="H3311" t="s">
        <v>16</v>
      </c>
      <c r="I3311" t="s">
        <v>1598</v>
      </c>
      <c r="J3311" t="s">
        <v>1599</v>
      </c>
      <c r="K3311" t="s">
        <v>1809</v>
      </c>
      <c r="L3311" t="str">
        <f>HYPERLINK("https://business-monitor.ch/de/companies/261382-metzgerei-appenzeller?utm_source=oberaargau","PROFIL ANSEHEN")</f>
        <v>PROFIL ANSEHEN</v>
      </c>
    </row>
    <row r="3312" spans="1:12" x14ac:dyDescent="0.2">
      <c r="A3312" t="s">
        <v>12630</v>
      </c>
      <c r="B3312" t="s">
        <v>12631</v>
      </c>
      <c r="C3312" t="s">
        <v>1812</v>
      </c>
      <c r="E3312" t="s">
        <v>573</v>
      </c>
      <c r="F3312">
        <v>4912</v>
      </c>
      <c r="G3312" t="s">
        <v>64</v>
      </c>
      <c r="H3312" t="s">
        <v>16</v>
      </c>
      <c r="I3312" t="s">
        <v>4105</v>
      </c>
      <c r="J3312" t="s">
        <v>4106</v>
      </c>
      <c r="K3312" t="s">
        <v>1809</v>
      </c>
      <c r="L3312" t="str">
        <f>HYPERLINK("https://business-monitor.ch/de/companies/1144252-essenziell-marlene-hubacher?utm_source=oberaargau","PROFIL ANSEHEN")</f>
        <v>PROFIL ANSEHEN</v>
      </c>
    </row>
    <row r="3313" spans="1:12" x14ac:dyDescent="0.2">
      <c r="A3313" t="s">
        <v>11147</v>
      </c>
      <c r="B3313" t="s">
        <v>11148</v>
      </c>
      <c r="C3313" t="s">
        <v>1812</v>
      </c>
      <c r="E3313" t="s">
        <v>11149</v>
      </c>
      <c r="F3313">
        <v>4900</v>
      </c>
      <c r="G3313" t="s">
        <v>41</v>
      </c>
      <c r="H3313" t="s">
        <v>16</v>
      </c>
      <c r="I3313" t="s">
        <v>1267</v>
      </c>
      <c r="J3313" t="s">
        <v>1268</v>
      </c>
      <c r="K3313" t="s">
        <v>1809</v>
      </c>
      <c r="L3313" t="str">
        <f>HYPERLINK("https://business-monitor.ch/de/companies/1116143-mai-seiler?utm_source=oberaargau","PROFIL ANSEHEN")</f>
        <v>PROFIL ANSEHEN</v>
      </c>
    </row>
    <row r="3314" spans="1:12" x14ac:dyDescent="0.2">
      <c r="A3314" t="s">
        <v>11401</v>
      </c>
      <c r="B3314" t="s">
        <v>11402</v>
      </c>
      <c r="C3314" t="s">
        <v>1812</v>
      </c>
      <c r="E3314" t="s">
        <v>6508</v>
      </c>
      <c r="F3314">
        <v>3360</v>
      </c>
      <c r="G3314" t="s">
        <v>35</v>
      </c>
      <c r="H3314" t="s">
        <v>16</v>
      </c>
      <c r="I3314" t="s">
        <v>824</v>
      </c>
      <c r="J3314" t="s">
        <v>825</v>
      </c>
      <c r="K3314" t="s">
        <v>1809</v>
      </c>
      <c r="L3314" t="str">
        <f>HYPERLINK("https://business-monitor.ch/de/companies/1133837-mein-baser-inh-s-dayan?utm_source=oberaargau","PROFIL ANSEHEN")</f>
        <v>PROFIL ANSEHEN</v>
      </c>
    </row>
    <row r="3315" spans="1:12" x14ac:dyDescent="0.2">
      <c r="A3315" t="s">
        <v>11059</v>
      </c>
      <c r="B3315" t="s">
        <v>11060</v>
      </c>
      <c r="C3315" t="s">
        <v>202</v>
      </c>
      <c r="D3315" t="s">
        <v>3639</v>
      </c>
      <c r="E3315" t="s">
        <v>3640</v>
      </c>
      <c r="F3315">
        <v>4914</v>
      </c>
      <c r="G3315" t="s">
        <v>105</v>
      </c>
      <c r="H3315" t="s">
        <v>16</v>
      </c>
      <c r="I3315" t="s">
        <v>119</v>
      </c>
      <c r="J3315" t="s">
        <v>120</v>
      </c>
      <c r="K3315" t="s">
        <v>1809</v>
      </c>
      <c r="L3315" t="str">
        <f>HYPERLINK("https://business-monitor.ch/de/companies/1118132-riki-truck-gmbh?utm_source=oberaargau","PROFIL ANSEHEN")</f>
        <v>PROFIL ANSEHEN</v>
      </c>
    </row>
    <row r="3316" spans="1:12" x14ac:dyDescent="0.2">
      <c r="A3316" t="s">
        <v>11080</v>
      </c>
      <c r="B3316" t="s">
        <v>11081</v>
      </c>
      <c r="C3316" t="s">
        <v>202</v>
      </c>
      <c r="E3316" t="s">
        <v>5918</v>
      </c>
      <c r="F3316">
        <v>3363</v>
      </c>
      <c r="G3316" t="s">
        <v>1367</v>
      </c>
      <c r="H3316" t="s">
        <v>16</v>
      </c>
      <c r="I3316" t="s">
        <v>1835</v>
      </c>
      <c r="J3316" t="s">
        <v>1836</v>
      </c>
      <c r="K3316" t="s">
        <v>1809</v>
      </c>
      <c r="L3316" t="str">
        <f>HYPERLINK("https://business-monitor.ch/de/companies/1113320-fcs-solutions-gmbh?utm_source=oberaargau","PROFIL ANSEHEN")</f>
        <v>PROFIL ANSEHEN</v>
      </c>
    </row>
    <row r="3317" spans="1:12" x14ac:dyDescent="0.2">
      <c r="A3317" t="s">
        <v>11219</v>
      </c>
      <c r="B3317" t="s">
        <v>11220</v>
      </c>
      <c r="C3317" t="s">
        <v>1922</v>
      </c>
      <c r="D3317" t="s">
        <v>5218</v>
      </c>
      <c r="E3317" t="s">
        <v>5219</v>
      </c>
      <c r="F3317">
        <v>4900</v>
      </c>
      <c r="G3317" t="s">
        <v>41</v>
      </c>
      <c r="H3317" t="s">
        <v>16</v>
      </c>
      <c r="I3317" t="s">
        <v>3272</v>
      </c>
      <c r="J3317" t="s">
        <v>3273</v>
      </c>
      <c r="K3317" t="s">
        <v>1809</v>
      </c>
      <c r="L3317" t="str">
        <f>HYPERLINK("https://business-monitor.ch/de/companies/1131930-fondation-transmettre?utm_source=oberaargau","PROFIL ANSEHEN")</f>
        <v>PROFIL ANSEHEN</v>
      </c>
    </row>
    <row r="3318" spans="1:12" x14ac:dyDescent="0.2">
      <c r="A3318" t="s">
        <v>12634</v>
      </c>
      <c r="B3318" t="s">
        <v>12635</v>
      </c>
      <c r="C3318" t="s">
        <v>202</v>
      </c>
      <c r="E3318" t="s">
        <v>11803</v>
      </c>
      <c r="F3318">
        <v>4950</v>
      </c>
      <c r="G3318" t="s">
        <v>15</v>
      </c>
      <c r="H3318" t="s">
        <v>16</v>
      </c>
      <c r="I3318" t="s">
        <v>4105</v>
      </c>
      <c r="J3318" t="s">
        <v>4106</v>
      </c>
      <c r="K3318" t="s">
        <v>1809</v>
      </c>
      <c r="L3318" t="str">
        <f>HYPERLINK("https://business-monitor.ch/de/companies/1129247-patterns2brain-gmbh?utm_source=oberaargau","PROFIL ANSEHEN")</f>
        <v>PROFIL ANSEHEN</v>
      </c>
    </row>
    <row r="3319" spans="1:12" x14ac:dyDescent="0.2">
      <c r="A3319" t="s">
        <v>6329</v>
      </c>
      <c r="B3319" t="s">
        <v>6330</v>
      </c>
      <c r="C3319" t="s">
        <v>1812</v>
      </c>
      <c r="E3319" t="s">
        <v>6331</v>
      </c>
      <c r="F3319">
        <v>4704</v>
      </c>
      <c r="G3319" t="s">
        <v>221</v>
      </c>
      <c r="H3319" t="s">
        <v>16</v>
      </c>
      <c r="I3319" t="s">
        <v>1535</v>
      </c>
      <c r="J3319" t="s">
        <v>1536</v>
      </c>
      <c r="K3319" t="s">
        <v>1809</v>
      </c>
      <c r="L3319" t="str">
        <f>HYPERLINK("https://business-monitor.ch/de/companies/327040-von-arx-garten-landschaft?utm_source=oberaargau","PROFIL ANSEHEN")</f>
        <v>PROFIL ANSEHEN</v>
      </c>
    </row>
    <row r="3320" spans="1:12" x14ac:dyDescent="0.2">
      <c r="A3320" t="s">
        <v>8793</v>
      </c>
      <c r="B3320" t="s">
        <v>8794</v>
      </c>
      <c r="C3320" t="s">
        <v>202</v>
      </c>
      <c r="E3320" t="s">
        <v>8795</v>
      </c>
      <c r="F3320">
        <v>3360</v>
      </c>
      <c r="G3320" t="s">
        <v>35</v>
      </c>
      <c r="H3320" t="s">
        <v>16</v>
      </c>
      <c r="I3320" t="s">
        <v>642</v>
      </c>
      <c r="J3320" t="s">
        <v>643</v>
      </c>
      <c r="K3320" t="s">
        <v>1809</v>
      </c>
      <c r="L3320" t="str">
        <f>HYPERLINK("https://business-monitor.ch/de/companies/355348-auto-hirsbrunner-gmbh?utm_source=oberaargau","PROFIL ANSEHEN")</f>
        <v>PROFIL ANSEHEN</v>
      </c>
    </row>
    <row r="3321" spans="1:12" x14ac:dyDescent="0.2">
      <c r="A3321" t="s">
        <v>1903</v>
      </c>
      <c r="B3321" t="s">
        <v>1904</v>
      </c>
      <c r="C3321" t="s">
        <v>202</v>
      </c>
      <c r="E3321" t="s">
        <v>1905</v>
      </c>
      <c r="F3321">
        <v>4539</v>
      </c>
      <c r="G3321" t="s">
        <v>1134</v>
      </c>
      <c r="H3321" t="s">
        <v>16</v>
      </c>
      <c r="I3321" t="s">
        <v>24</v>
      </c>
      <c r="J3321" t="s">
        <v>25</v>
      </c>
      <c r="K3321" t="s">
        <v>1809</v>
      </c>
      <c r="L3321" t="str">
        <f>HYPERLINK("https://business-monitor.ch/de/companies/334409-in4work-gmbh?utm_source=oberaargau","PROFIL ANSEHEN")</f>
        <v>PROFIL ANSEHEN</v>
      </c>
    </row>
    <row r="3322" spans="1:12" x14ac:dyDescent="0.2">
      <c r="A3322" t="s">
        <v>2271</v>
      </c>
      <c r="B3322" t="s">
        <v>2272</v>
      </c>
      <c r="C3322" t="s">
        <v>202</v>
      </c>
      <c r="E3322" t="s">
        <v>2273</v>
      </c>
      <c r="F3322">
        <v>4935</v>
      </c>
      <c r="G3322" t="s">
        <v>443</v>
      </c>
      <c r="H3322" t="s">
        <v>16</v>
      </c>
      <c r="I3322" t="s">
        <v>1446</v>
      </c>
      <c r="J3322" t="s">
        <v>1447</v>
      </c>
      <c r="K3322" t="s">
        <v>1809</v>
      </c>
      <c r="L3322" t="str">
        <f>HYPERLINK("https://business-monitor.ch/de/companies/336846-zaugg-sanitaer-gmbh?utm_source=oberaargau","PROFIL ANSEHEN")</f>
        <v>PROFIL ANSEHEN</v>
      </c>
    </row>
    <row r="3323" spans="1:12" x14ac:dyDescent="0.2">
      <c r="A3323" t="s">
        <v>8919</v>
      </c>
      <c r="B3323" t="s">
        <v>8920</v>
      </c>
      <c r="C3323" t="s">
        <v>1922</v>
      </c>
      <c r="D3323" t="s">
        <v>2484</v>
      </c>
      <c r="E3323" t="s">
        <v>166</v>
      </c>
      <c r="F3323">
        <v>4900</v>
      </c>
      <c r="G3323" t="s">
        <v>41</v>
      </c>
      <c r="H3323" t="s">
        <v>16</v>
      </c>
      <c r="I3323" t="s">
        <v>2116</v>
      </c>
      <c r="J3323" t="s">
        <v>2117</v>
      </c>
      <c r="K3323" t="s">
        <v>1809</v>
      </c>
      <c r="L3323" t="str">
        <f>HYPERLINK("https://business-monitor.ch/de/companies/280701-patronale-stiftung-der-firma-friedrich-witschi-ag?utm_source=oberaargau","PROFIL ANSEHEN")</f>
        <v>PROFIL ANSEHEN</v>
      </c>
    </row>
    <row r="3324" spans="1:12" x14ac:dyDescent="0.2">
      <c r="A3324" t="s">
        <v>12185</v>
      </c>
      <c r="B3324" t="s">
        <v>12186</v>
      </c>
      <c r="C3324" t="s">
        <v>202</v>
      </c>
      <c r="E3324" t="s">
        <v>11606</v>
      </c>
      <c r="F3324">
        <v>4537</v>
      </c>
      <c r="G3324" t="s">
        <v>113</v>
      </c>
      <c r="H3324" t="s">
        <v>16</v>
      </c>
      <c r="I3324" t="s">
        <v>642</v>
      </c>
      <c r="J3324" t="s">
        <v>643</v>
      </c>
      <c r="K3324" t="s">
        <v>1809</v>
      </c>
      <c r="L3324" t="str">
        <f>HYPERLINK("https://business-monitor.ch/de/companies/1184869-carpro-swiss-gmbh?utm_source=oberaargau","PROFIL ANSEHEN")</f>
        <v>PROFIL ANSEHEN</v>
      </c>
    </row>
    <row r="3325" spans="1:12" x14ac:dyDescent="0.2">
      <c r="A3325" t="s">
        <v>8760</v>
      </c>
      <c r="B3325" t="s">
        <v>8761</v>
      </c>
      <c r="C3325" t="s">
        <v>1812</v>
      </c>
      <c r="E3325" t="s">
        <v>8762</v>
      </c>
      <c r="F3325">
        <v>4914</v>
      </c>
      <c r="G3325" t="s">
        <v>717</v>
      </c>
      <c r="H3325" t="s">
        <v>16</v>
      </c>
      <c r="I3325" t="s">
        <v>1865</v>
      </c>
      <c r="J3325" t="s">
        <v>1866</v>
      </c>
      <c r="K3325" t="s">
        <v>1809</v>
      </c>
      <c r="L3325" t="str">
        <f>HYPERLINK("https://business-monitor.ch/de/companies/362401-bs-hauswartungen-beat-scheidegger?utm_source=oberaargau","PROFIL ANSEHEN")</f>
        <v>PROFIL ANSEHEN</v>
      </c>
    </row>
    <row r="3326" spans="1:12" x14ac:dyDescent="0.2">
      <c r="A3326" t="s">
        <v>8750</v>
      </c>
      <c r="B3326" t="s">
        <v>8751</v>
      </c>
      <c r="C3326" t="s">
        <v>202</v>
      </c>
      <c r="D3326" t="s">
        <v>8752</v>
      </c>
      <c r="E3326" t="s">
        <v>446</v>
      </c>
      <c r="F3326">
        <v>4950</v>
      </c>
      <c r="G3326" t="s">
        <v>15</v>
      </c>
      <c r="H3326" t="s">
        <v>16</v>
      </c>
      <c r="I3326" t="s">
        <v>186</v>
      </c>
      <c r="J3326" t="s">
        <v>187</v>
      </c>
      <c r="K3326" t="s">
        <v>1809</v>
      </c>
      <c r="L3326" t="str">
        <f>HYPERLINK("https://business-monitor.ch/de/companies/373021-benshen-gmbh?utm_source=oberaargau","PROFIL ANSEHEN")</f>
        <v>PROFIL ANSEHEN</v>
      </c>
    </row>
    <row r="3327" spans="1:12" x14ac:dyDescent="0.2">
      <c r="A3327" t="s">
        <v>11704</v>
      </c>
      <c r="B3327" t="s">
        <v>11705</v>
      </c>
      <c r="C3327" t="s">
        <v>1812</v>
      </c>
      <c r="E3327" t="s">
        <v>2151</v>
      </c>
      <c r="F3327">
        <v>3360</v>
      </c>
      <c r="G3327" t="s">
        <v>35</v>
      </c>
      <c r="H3327" t="s">
        <v>16</v>
      </c>
      <c r="I3327" t="s">
        <v>1212</v>
      </c>
      <c r="J3327" t="s">
        <v>1213</v>
      </c>
      <c r="K3327" t="s">
        <v>1809</v>
      </c>
      <c r="L3327" t="str">
        <f>HYPERLINK("https://business-monitor.ch/de/companies/1156883-maks-events?utm_source=oberaargau","PROFIL ANSEHEN")</f>
        <v>PROFIL ANSEHEN</v>
      </c>
    </row>
    <row r="3328" spans="1:12" x14ac:dyDescent="0.2">
      <c r="A3328" t="s">
        <v>11768</v>
      </c>
      <c r="B3328" t="s">
        <v>11769</v>
      </c>
      <c r="C3328" t="s">
        <v>202</v>
      </c>
      <c r="E3328" t="s">
        <v>10671</v>
      </c>
      <c r="F3328">
        <v>3474</v>
      </c>
      <c r="G3328" t="s">
        <v>10672</v>
      </c>
      <c r="H3328" t="s">
        <v>16</v>
      </c>
      <c r="I3328" t="s">
        <v>134</v>
      </c>
      <c r="J3328" t="s">
        <v>135</v>
      </c>
      <c r="K3328" t="s">
        <v>1809</v>
      </c>
      <c r="L3328" t="str">
        <f>HYPERLINK("https://business-monitor.ch/de/companies/1160865-boss-elektro-gmbh?utm_source=oberaargau","PROFIL ANSEHEN")</f>
        <v>PROFIL ANSEHEN</v>
      </c>
    </row>
    <row r="3329" spans="1:12" x14ac:dyDescent="0.2">
      <c r="A3329" t="s">
        <v>2251</v>
      </c>
      <c r="B3329" t="s">
        <v>2252</v>
      </c>
      <c r="C3329" t="s">
        <v>1812</v>
      </c>
      <c r="E3329" t="s">
        <v>2253</v>
      </c>
      <c r="F3329">
        <v>4952</v>
      </c>
      <c r="G3329" t="s">
        <v>474</v>
      </c>
      <c r="H3329" t="s">
        <v>16</v>
      </c>
      <c r="I3329" t="s">
        <v>748</v>
      </c>
      <c r="J3329" t="s">
        <v>749</v>
      </c>
      <c r="K3329" t="s">
        <v>1809</v>
      </c>
      <c r="L3329" t="str">
        <f>HYPERLINK("https://business-monitor.ch/de/companies/403137-feldmann-malerei?utm_source=oberaargau","PROFIL ANSEHEN")</f>
        <v>PROFIL ANSEHEN</v>
      </c>
    </row>
    <row r="3330" spans="1:12" x14ac:dyDescent="0.2">
      <c r="A3330" t="s">
        <v>11786</v>
      </c>
      <c r="B3330" t="s">
        <v>11787</v>
      </c>
      <c r="C3330" t="s">
        <v>13</v>
      </c>
      <c r="E3330" t="s">
        <v>1720</v>
      </c>
      <c r="F3330">
        <v>4538</v>
      </c>
      <c r="G3330" t="s">
        <v>71</v>
      </c>
      <c r="H3330" t="s">
        <v>16</v>
      </c>
      <c r="I3330" t="s">
        <v>134</v>
      </c>
      <c r="J3330" t="s">
        <v>135</v>
      </c>
      <c r="K3330" t="s">
        <v>1809</v>
      </c>
      <c r="L3330" t="str">
        <f>HYPERLINK("https://business-monitor.ch/de/companies/1163067-io360-ag?utm_source=oberaargau","PROFIL ANSEHEN")</f>
        <v>PROFIL ANSEHEN</v>
      </c>
    </row>
    <row r="3331" spans="1:12" x14ac:dyDescent="0.2">
      <c r="A3331" t="s">
        <v>12388</v>
      </c>
      <c r="B3331" t="s">
        <v>12389</v>
      </c>
      <c r="C3331" t="s">
        <v>1812</v>
      </c>
      <c r="E3331" t="s">
        <v>12390</v>
      </c>
      <c r="F3331">
        <v>4916</v>
      </c>
      <c r="G3331" t="s">
        <v>780</v>
      </c>
      <c r="H3331" t="s">
        <v>16</v>
      </c>
      <c r="I3331" t="s">
        <v>624</v>
      </c>
      <c r="J3331" t="s">
        <v>625</v>
      </c>
      <c r="K3331" t="s">
        <v>1809</v>
      </c>
      <c r="L3331" t="str">
        <f>HYPERLINK("https://business-monitor.ch/de/companies/1195670-meister-dfreelancer?utm_source=oberaargau","PROFIL ANSEHEN")</f>
        <v>PROFIL ANSEHEN</v>
      </c>
    </row>
    <row r="3332" spans="1:12" x14ac:dyDescent="0.2">
      <c r="A3332" t="s">
        <v>8456</v>
      </c>
      <c r="B3332" t="s">
        <v>8457</v>
      </c>
      <c r="C3332" t="s">
        <v>13</v>
      </c>
      <c r="E3332" t="s">
        <v>8458</v>
      </c>
      <c r="F3332">
        <v>4932</v>
      </c>
      <c r="G3332" t="s">
        <v>325</v>
      </c>
      <c r="H3332" t="s">
        <v>16</v>
      </c>
      <c r="I3332" t="s">
        <v>955</v>
      </c>
      <c r="J3332" t="s">
        <v>956</v>
      </c>
      <c r="K3332" t="s">
        <v>1809</v>
      </c>
      <c r="L3332" t="str">
        <f>HYPERLINK("https://business-monitor.ch/de/companies/438158-lufag-daemmsysteme-ag?utm_source=oberaargau","PROFIL ANSEHEN")</f>
        <v>PROFIL ANSEHEN</v>
      </c>
    </row>
    <row r="3333" spans="1:12" x14ac:dyDescent="0.2">
      <c r="A3333" t="s">
        <v>2750</v>
      </c>
      <c r="B3333" t="s">
        <v>2751</v>
      </c>
      <c r="C3333" t="s">
        <v>13</v>
      </c>
      <c r="D3333" t="s">
        <v>1703</v>
      </c>
      <c r="E3333" t="s">
        <v>407</v>
      </c>
      <c r="F3333">
        <v>4538</v>
      </c>
      <c r="G3333" t="s">
        <v>71</v>
      </c>
      <c r="H3333" t="s">
        <v>16</v>
      </c>
      <c r="I3333" t="s">
        <v>186</v>
      </c>
      <c r="J3333" t="s">
        <v>187</v>
      </c>
      <c r="K3333" t="s">
        <v>1809</v>
      </c>
      <c r="L3333" t="str">
        <f>HYPERLINK("https://business-monitor.ch/de/companies/448150-tps-holding-ag?utm_source=oberaargau","PROFIL ANSEHEN")</f>
        <v>PROFIL ANSEHEN</v>
      </c>
    </row>
    <row r="3334" spans="1:12" x14ac:dyDescent="0.2">
      <c r="A3334" t="s">
        <v>3280</v>
      </c>
      <c r="B3334" t="s">
        <v>3281</v>
      </c>
      <c r="C3334" t="s">
        <v>13</v>
      </c>
      <c r="E3334" t="s">
        <v>12540</v>
      </c>
      <c r="F3334">
        <v>4912</v>
      </c>
      <c r="G3334" t="s">
        <v>64</v>
      </c>
      <c r="H3334" t="s">
        <v>16</v>
      </c>
      <c r="I3334" t="s">
        <v>59</v>
      </c>
      <c r="J3334" t="s">
        <v>60</v>
      </c>
      <c r="K3334" t="s">
        <v>1809</v>
      </c>
      <c r="L3334" t="str">
        <f>HYPERLINK("https://business-monitor.ch/de/companies/248437-gasthof-zum-wilden-mann-ag?utm_source=oberaargau","PROFIL ANSEHEN")</f>
        <v>PROFIL ANSEHEN</v>
      </c>
    </row>
    <row r="3335" spans="1:12" x14ac:dyDescent="0.2">
      <c r="A3335" t="s">
        <v>12387</v>
      </c>
      <c r="B3335" t="s">
        <v>12541</v>
      </c>
      <c r="C3335" t="s">
        <v>1812</v>
      </c>
      <c r="E3335" t="s">
        <v>12542</v>
      </c>
      <c r="F3335">
        <v>4900</v>
      </c>
      <c r="G3335" t="s">
        <v>41</v>
      </c>
      <c r="H3335" t="s">
        <v>16</v>
      </c>
      <c r="I3335" t="s">
        <v>838</v>
      </c>
      <c r="J3335" t="s">
        <v>839</v>
      </c>
      <c r="K3335" t="s">
        <v>1809</v>
      </c>
      <c r="L3335" t="str">
        <f>HYPERLINK("https://business-monitor.ch/de/companies/1193413-simon-s-collection-inhaber-khokhar?utm_source=oberaargau","PROFIL ANSEHEN")</f>
        <v>PROFIL ANSEHEN</v>
      </c>
    </row>
    <row r="3336" spans="1:12" x14ac:dyDescent="0.2">
      <c r="A3336" t="s">
        <v>11993</v>
      </c>
      <c r="B3336" t="s">
        <v>11994</v>
      </c>
      <c r="C3336" t="s">
        <v>1812</v>
      </c>
      <c r="E3336" t="s">
        <v>1929</v>
      </c>
      <c r="F3336">
        <v>4938</v>
      </c>
      <c r="G3336" t="s">
        <v>618</v>
      </c>
      <c r="H3336" t="s">
        <v>16</v>
      </c>
      <c r="I3336" t="s">
        <v>824</v>
      </c>
      <c r="J3336" t="s">
        <v>825</v>
      </c>
      <c r="K3336" t="s">
        <v>1809</v>
      </c>
      <c r="L3336" t="str">
        <f>HYPERLINK("https://business-monitor.ch/de/companies/1172448-beat-steiner?utm_source=oberaargau","PROFIL ANSEHEN")</f>
        <v>PROFIL ANSEHEN</v>
      </c>
    </row>
    <row r="3337" spans="1:12" x14ac:dyDescent="0.2">
      <c r="A3337" t="s">
        <v>2557</v>
      </c>
      <c r="B3337" t="s">
        <v>2558</v>
      </c>
      <c r="C3337" t="s">
        <v>13</v>
      </c>
      <c r="E3337" t="s">
        <v>2559</v>
      </c>
      <c r="F3337">
        <v>4704</v>
      </c>
      <c r="G3337" t="s">
        <v>221</v>
      </c>
      <c r="H3337" t="s">
        <v>16</v>
      </c>
      <c r="I3337" t="s">
        <v>906</v>
      </c>
      <c r="J3337" t="s">
        <v>907</v>
      </c>
      <c r="K3337" t="s">
        <v>1809</v>
      </c>
      <c r="L3337" t="str">
        <f>HYPERLINK("https://business-monitor.ch/de/companies/515157-boesiger-immobilien-ag?utm_source=oberaargau","PROFIL ANSEHEN")</f>
        <v>PROFIL ANSEHEN</v>
      </c>
    </row>
    <row r="3338" spans="1:12" x14ac:dyDescent="0.2">
      <c r="A3338" t="s">
        <v>9544</v>
      </c>
      <c r="B3338" t="s">
        <v>9545</v>
      </c>
      <c r="C3338" t="s">
        <v>1827</v>
      </c>
      <c r="E3338" t="s">
        <v>9546</v>
      </c>
      <c r="F3338">
        <v>3380</v>
      </c>
      <c r="G3338" t="s">
        <v>29</v>
      </c>
      <c r="H3338" t="s">
        <v>16</v>
      </c>
      <c r="I3338" t="s">
        <v>4534</v>
      </c>
      <c r="J3338" t="s">
        <v>4535</v>
      </c>
      <c r="K3338" t="s">
        <v>1809</v>
      </c>
      <c r="L3338" t="str">
        <f>HYPERLINK("https://business-monitor.ch/de/companies/727680-schneckenparadies-klg?utm_source=oberaargau","PROFIL ANSEHEN")</f>
        <v>PROFIL ANSEHEN</v>
      </c>
    </row>
    <row r="3339" spans="1:12" x14ac:dyDescent="0.2">
      <c r="A3339" t="s">
        <v>4302</v>
      </c>
      <c r="B3339" t="s">
        <v>4303</v>
      </c>
      <c r="C3339" t="s">
        <v>202</v>
      </c>
      <c r="E3339" t="s">
        <v>12304</v>
      </c>
      <c r="F3339">
        <v>4900</v>
      </c>
      <c r="G3339" t="s">
        <v>41</v>
      </c>
      <c r="H3339" t="s">
        <v>16</v>
      </c>
      <c r="I3339" t="s">
        <v>824</v>
      </c>
      <c r="J3339" t="s">
        <v>825</v>
      </c>
      <c r="K3339" t="s">
        <v>1809</v>
      </c>
      <c r="L3339" t="str">
        <f>HYPERLINK("https://business-monitor.ch/de/companies/972375-vagner-aguiar-gmbh?utm_source=oberaargau","PROFIL ANSEHEN")</f>
        <v>PROFIL ANSEHEN</v>
      </c>
    </row>
    <row r="3340" spans="1:12" x14ac:dyDescent="0.2">
      <c r="A3340" t="s">
        <v>4455</v>
      </c>
      <c r="B3340" t="s">
        <v>4456</v>
      </c>
      <c r="C3340" t="s">
        <v>13</v>
      </c>
      <c r="E3340" t="s">
        <v>3365</v>
      </c>
      <c r="F3340">
        <v>3360</v>
      </c>
      <c r="G3340" t="s">
        <v>35</v>
      </c>
      <c r="H3340" t="s">
        <v>16</v>
      </c>
      <c r="I3340" t="s">
        <v>1528</v>
      </c>
      <c r="J3340" t="s">
        <v>1529</v>
      </c>
      <c r="K3340" t="s">
        <v>1809</v>
      </c>
      <c r="L3340" t="str">
        <f>HYPERLINK("https://business-monitor.ch/de/companies/727271-maerki-staub-rechtsanwaelte-ag?utm_source=oberaargau","PROFIL ANSEHEN")</f>
        <v>PROFIL ANSEHEN</v>
      </c>
    </row>
    <row r="3341" spans="1:12" x14ac:dyDescent="0.2">
      <c r="A3341" t="s">
        <v>12257</v>
      </c>
      <c r="B3341" t="s">
        <v>12258</v>
      </c>
      <c r="C3341" t="s">
        <v>1812</v>
      </c>
      <c r="E3341" t="s">
        <v>10951</v>
      </c>
      <c r="F3341">
        <v>4900</v>
      </c>
      <c r="G3341" t="s">
        <v>41</v>
      </c>
      <c r="H3341" t="s">
        <v>16</v>
      </c>
      <c r="I3341" t="s">
        <v>4641</v>
      </c>
      <c r="J3341" t="s">
        <v>4642</v>
      </c>
      <c r="K3341" t="s">
        <v>1809</v>
      </c>
      <c r="L3341" t="str">
        <f>HYPERLINK("https://business-monitor.ch/de/companies/1193510-imperium-consulting-patrik-gabriel?utm_source=oberaargau","PROFIL ANSEHEN")</f>
        <v>PROFIL ANSEHEN</v>
      </c>
    </row>
    <row r="3342" spans="1:12" x14ac:dyDescent="0.2">
      <c r="A3342" t="s">
        <v>5166</v>
      </c>
      <c r="B3342" t="s">
        <v>5167</v>
      </c>
      <c r="C3342" t="s">
        <v>1812</v>
      </c>
      <c r="E3342" t="s">
        <v>5168</v>
      </c>
      <c r="F3342">
        <v>4900</v>
      </c>
      <c r="G3342" t="s">
        <v>41</v>
      </c>
      <c r="H3342" t="s">
        <v>16</v>
      </c>
      <c r="I3342" t="s">
        <v>331</v>
      </c>
      <c r="J3342" t="s">
        <v>332</v>
      </c>
      <c r="K3342" t="s">
        <v>1809</v>
      </c>
      <c r="L3342" t="str">
        <f>HYPERLINK("https://business-monitor.ch/de/companies/321854-beat-jordi-schleifservice?utm_source=oberaargau","PROFIL ANSEHEN")</f>
        <v>PROFIL ANSEHEN</v>
      </c>
    </row>
    <row r="3343" spans="1:12" x14ac:dyDescent="0.2">
      <c r="A3343" t="s">
        <v>7730</v>
      </c>
      <c r="B3343" t="s">
        <v>7731</v>
      </c>
      <c r="C3343" t="s">
        <v>202</v>
      </c>
      <c r="E3343" t="s">
        <v>7732</v>
      </c>
      <c r="F3343">
        <v>4704</v>
      </c>
      <c r="G3343" t="s">
        <v>221</v>
      </c>
      <c r="H3343" t="s">
        <v>16</v>
      </c>
      <c r="I3343" t="s">
        <v>1818</v>
      </c>
      <c r="J3343" t="s">
        <v>1819</v>
      </c>
      <c r="K3343" t="s">
        <v>1809</v>
      </c>
      <c r="L3343" t="str">
        <f>HYPERLINK("https://business-monitor.ch/de/companies/593254-montunato-gmbh?utm_source=oberaargau","PROFIL ANSEHEN")</f>
        <v>PROFIL ANSEHEN</v>
      </c>
    </row>
    <row r="3344" spans="1:12" x14ac:dyDescent="0.2">
      <c r="A3344" t="s">
        <v>7025</v>
      </c>
      <c r="B3344" t="s">
        <v>909</v>
      </c>
      <c r="C3344" t="s">
        <v>2178</v>
      </c>
      <c r="E3344" t="s">
        <v>11487</v>
      </c>
      <c r="F3344">
        <v>4914</v>
      </c>
      <c r="G3344" t="s">
        <v>105</v>
      </c>
      <c r="H3344" t="s">
        <v>16</v>
      </c>
      <c r="I3344" t="s">
        <v>134</v>
      </c>
      <c r="J3344" t="s">
        <v>135</v>
      </c>
      <c r="K3344" t="s">
        <v>1809</v>
      </c>
      <c r="L3344" t="str">
        <f>HYPERLINK("https://business-monitor.ch/de/companies/550490-elektro-kohler-ag?utm_source=oberaargau","PROFIL ANSEHEN")</f>
        <v>PROFIL ANSEHEN</v>
      </c>
    </row>
    <row r="3345" spans="1:12" x14ac:dyDescent="0.2">
      <c r="A3345" t="s">
        <v>11978</v>
      </c>
      <c r="B3345" t="s">
        <v>11979</v>
      </c>
      <c r="C3345" t="s">
        <v>1812</v>
      </c>
      <c r="E3345" t="s">
        <v>11980</v>
      </c>
      <c r="F3345">
        <v>4943</v>
      </c>
      <c r="G3345" t="s">
        <v>1022</v>
      </c>
      <c r="H3345" t="s">
        <v>16</v>
      </c>
      <c r="I3345" t="s">
        <v>2939</v>
      </c>
      <c r="J3345" t="s">
        <v>2940</v>
      </c>
      <c r="K3345" t="s">
        <v>1809</v>
      </c>
      <c r="L3345" t="str">
        <f>HYPERLINK("https://business-monitor.ch/de/companies/1175539-suspensiondoc-hediger?utm_source=oberaargau","PROFIL ANSEHEN")</f>
        <v>PROFIL ANSEHEN</v>
      </c>
    </row>
    <row r="3346" spans="1:12" x14ac:dyDescent="0.2">
      <c r="A3346" t="s">
        <v>6373</v>
      </c>
      <c r="B3346" t="s">
        <v>6374</v>
      </c>
      <c r="C3346" t="s">
        <v>13</v>
      </c>
      <c r="D3346" t="s">
        <v>6375</v>
      </c>
      <c r="E3346" t="s">
        <v>6376</v>
      </c>
      <c r="F3346">
        <v>3360</v>
      </c>
      <c r="G3346" t="s">
        <v>35</v>
      </c>
      <c r="H3346" t="s">
        <v>16</v>
      </c>
      <c r="I3346" t="s">
        <v>551</v>
      </c>
      <c r="J3346" t="s">
        <v>552</v>
      </c>
      <c r="K3346" t="s">
        <v>1809</v>
      </c>
      <c r="L3346" t="str">
        <f>HYPERLINK("https://business-monitor.ch/de/companies/307867-samuel-gerber-ch-ag?utm_source=oberaargau","PROFIL ANSEHEN")</f>
        <v>PROFIL ANSEHEN</v>
      </c>
    </row>
    <row r="3347" spans="1:12" x14ac:dyDescent="0.2">
      <c r="A3347" t="s">
        <v>12052</v>
      </c>
      <c r="B3347" t="s">
        <v>12053</v>
      </c>
      <c r="C3347" t="s">
        <v>1812</v>
      </c>
      <c r="E3347" t="s">
        <v>12054</v>
      </c>
      <c r="F3347">
        <v>3363</v>
      </c>
      <c r="G3347" t="s">
        <v>1367</v>
      </c>
      <c r="H3347" t="s">
        <v>16</v>
      </c>
      <c r="I3347" t="s">
        <v>1557</v>
      </c>
      <c r="J3347" t="s">
        <v>1558</v>
      </c>
      <c r="K3347" t="s">
        <v>1809</v>
      </c>
      <c r="L3347" t="str">
        <f>HYPERLINK("https://business-monitor.ch/de/companies/1189150-peter-zulauf-beratungen?utm_source=oberaargau","PROFIL ANSEHEN")</f>
        <v>PROFIL ANSEHEN</v>
      </c>
    </row>
    <row r="3348" spans="1:12" x14ac:dyDescent="0.2">
      <c r="A3348" t="s">
        <v>5260</v>
      </c>
      <c r="B3348" t="s">
        <v>5261</v>
      </c>
      <c r="C3348" t="s">
        <v>202</v>
      </c>
      <c r="E3348" t="s">
        <v>1067</v>
      </c>
      <c r="F3348">
        <v>4938</v>
      </c>
      <c r="G3348" t="s">
        <v>618</v>
      </c>
      <c r="H3348" t="s">
        <v>16</v>
      </c>
      <c r="I3348" t="s">
        <v>3344</v>
      </c>
      <c r="J3348" t="s">
        <v>3345</v>
      </c>
      <c r="K3348" t="s">
        <v>1809</v>
      </c>
      <c r="L3348" t="str">
        <f>HYPERLINK("https://business-monitor.ch/de/companies/417553-spitextra-gmbh?utm_source=oberaargau","PROFIL ANSEHEN")</f>
        <v>PROFIL ANSEHEN</v>
      </c>
    </row>
    <row r="3349" spans="1:12" x14ac:dyDescent="0.2">
      <c r="A3349" t="s">
        <v>8254</v>
      </c>
      <c r="B3349" t="s">
        <v>8255</v>
      </c>
      <c r="C3349" t="s">
        <v>202</v>
      </c>
      <c r="E3349" t="s">
        <v>8256</v>
      </c>
      <c r="F3349">
        <v>4913</v>
      </c>
      <c r="G3349" t="s">
        <v>207</v>
      </c>
      <c r="H3349" t="s">
        <v>16</v>
      </c>
      <c r="I3349" t="s">
        <v>551</v>
      </c>
      <c r="J3349" t="s">
        <v>552</v>
      </c>
      <c r="K3349" t="s">
        <v>1809</v>
      </c>
      <c r="L3349" t="str">
        <f>HYPERLINK("https://business-monitor.ch/de/companies/687293-proja-gmbh?utm_source=oberaargau","PROFIL ANSEHEN")</f>
        <v>PROFIL ANSEHEN</v>
      </c>
    </row>
    <row r="3350" spans="1:12" x14ac:dyDescent="0.2">
      <c r="A3350" t="s">
        <v>1883</v>
      </c>
      <c r="B3350" t="s">
        <v>1884</v>
      </c>
      <c r="C3350" t="s">
        <v>1812</v>
      </c>
      <c r="E3350" t="s">
        <v>1885</v>
      </c>
      <c r="F3350">
        <v>4536</v>
      </c>
      <c r="G3350" t="s">
        <v>1395</v>
      </c>
      <c r="H3350" t="s">
        <v>16</v>
      </c>
      <c r="I3350" t="s">
        <v>845</v>
      </c>
      <c r="J3350" t="s">
        <v>846</v>
      </c>
      <c r="K3350" t="s">
        <v>1809</v>
      </c>
      <c r="L3350" t="str">
        <f>HYPERLINK("https://business-monitor.ch/de/companies/489770-s-grueninger?utm_source=oberaargau","PROFIL ANSEHEN")</f>
        <v>PROFIL ANSEHEN</v>
      </c>
    </row>
    <row r="3351" spans="1:12" x14ac:dyDescent="0.2">
      <c r="A3351" t="s">
        <v>2635</v>
      </c>
      <c r="B3351" t="s">
        <v>2636</v>
      </c>
      <c r="C3351" t="s">
        <v>1812</v>
      </c>
      <c r="E3351" t="s">
        <v>2428</v>
      </c>
      <c r="F3351">
        <v>3373</v>
      </c>
      <c r="G3351" t="s">
        <v>2429</v>
      </c>
      <c r="H3351" t="s">
        <v>16</v>
      </c>
      <c r="I3351" t="s">
        <v>1993</v>
      </c>
      <c r="J3351" t="s">
        <v>1994</v>
      </c>
      <c r="K3351" t="s">
        <v>1809</v>
      </c>
      <c r="L3351" t="str">
        <f>HYPERLINK("https://business-monitor.ch/de/companies/492803-baumeler-trade?utm_source=oberaargau","PROFIL ANSEHEN")</f>
        <v>PROFIL ANSEHEN</v>
      </c>
    </row>
    <row r="3352" spans="1:12" x14ac:dyDescent="0.2">
      <c r="A3352" t="s">
        <v>12214</v>
      </c>
      <c r="B3352" t="s">
        <v>12215</v>
      </c>
      <c r="C3352" t="s">
        <v>202</v>
      </c>
      <c r="E3352" t="s">
        <v>12216</v>
      </c>
      <c r="F3352">
        <v>4536</v>
      </c>
      <c r="G3352" t="s">
        <v>1395</v>
      </c>
      <c r="H3352" t="s">
        <v>16</v>
      </c>
      <c r="I3352" t="s">
        <v>153</v>
      </c>
      <c r="J3352" t="s">
        <v>154</v>
      </c>
      <c r="K3352" t="s">
        <v>1809</v>
      </c>
      <c r="L3352" t="str">
        <f>HYPERLINK("https://business-monitor.ch/de/companies/517796-ignite-concepts-gmbh?utm_source=oberaargau","PROFIL ANSEHEN")</f>
        <v>PROFIL ANSEHEN</v>
      </c>
    </row>
    <row r="3353" spans="1:12" x14ac:dyDescent="0.2">
      <c r="A3353" t="s">
        <v>6112</v>
      </c>
      <c r="B3353" t="s">
        <v>6113</v>
      </c>
      <c r="C3353" t="s">
        <v>202</v>
      </c>
      <c r="E3353" t="s">
        <v>6114</v>
      </c>
      <c r="F3353">
        <v>3360</v>
      </c>
      <c r="G3353" t="s">
        <v>35</v>
      </c>
      <c r="H3353" t="s">
        <v>16</v>
      </c>
      <c r="I3353" t="s">
        <v>603</v>
      </c>
      <c r="J3353" t="s">
        <v>604</v>
      </c>
      <c r="K3353" t="s">
        <v>1809</v>
      </c>
      <c r="L3353" t="str">
        <f>HYPERLINK("https://business-monitor.ch/de/companies/402679-sivost-gmbh?utm_source=oberaargau","PROFIL ANSEHEN")</f>
        <v>PROFIL ANSEHEN</v>
      </c>
    </row>
    <row r="3354" spans="1:12" x14ac:dyDescent="0.2">
      <c r="A3354" t="s">
        <v>5723</v>
      </c>
      <c r="B3354" t="s">
        <v>5724</v>
      </c>
      <c r="C3354" t="s">
        <v>1812</v>
      </c>
      <c r="E3354" t="s">
        <v>1525</v>
      </c>
      <c r="F3354">
        <v>3375</v>
      </c>
      <c r="G3354" t="s">
        <v>667</v>
      </c>
      <c r="H3354" t="s">
        <v>16</v>
      </c>
      <c r="I3354" t="s">
        <v>331</v>
      </c>
      <c r="J3354" t="s">
        <v>332</v>
      </c>
      <c r="K3354" t="s">
        <v>1809</v>
      </c>
      <c r="L3354" t="str">
        <f>HYPERLINK("https://business-monitor.ch/de/companies/69877-a-schaad-research-united-technologies?utm_source=oberaargau","PROFIL ANSEHEN")</f>
        <v>PROFIL ANSEHEN</v>
      </c>
    </row>
    <row r="3355" spans="1:12" x14ac:dyDescent="0.2">
      <c r="A3355" t="s">
        <v>10117</v>
      </c>
      <c r="B3355" t="s">
        <v>10118</v>
      </c>
      <c r="C3355" t="s">
        <v>202</v>
      </c>
      <c r="E3355" t="s">
        <v>10119</v>
      </c>
      <c r="F3355">
        <v>4952</v>
      </c>
      <c r="G3355" t="s">
        <v>474</v>
      </c>
      <c r="H3355" t="s">
        <v>16</v>
      </c>
      <c r="I3355" t="s">
        <v>4277</v>
      </c>
      <c r="J3355" t="s">
        <v>4278</v>
      </c>
      <c r="K3355" t="s">
        <v>1809</v>
      </c>
      <c r="L3355" t="str">
        <f>HYPERLINK("https://business-monitor.ch/de/companies/668262-andreas-meister-gmbh?utm_source=oberaargau","PROFIL ANSEHEN")</f>
        <v>PROFIL ANSEHEN</v>
      </c>
    </row>
    <row r="3356" spans="1:12" x14ac:dyDescent="0.2">
      <c r="A3356" t="s">
        <v>6819</v>
      </c>
      <c r="B3356" t="s">
        <v>9339</v>
      </c>
      <c r="C3356" t="s">
        <v>1812</v>
      </c>
      <c r="E3356" t="s">
        <v>7366</v>
      </c>
      <c r="F3356">
        <v>3360</v>
      </c>
      <c r="G3356" t="s">
        <v>35</v>
      </c>
      <c r="H3356" t="s">
        <v>16</v>
      </c>
      <c r="I3356" t="s">
        <v>167</v>
      </c>
      <c r="J3356" t="s">
        <v>168</v>
      </c>
      <c r="K3356" t="s">
        <v>1809</v>
      </c>
      <c r="L3356" t="str">
        <f>HYPERLINK("https://business-monitor.ch/de/companies/79316-baugeschaeft-passucci?utm_source=oberaargau","PROFIL ANSEHEN")</f>
        <v>PROFIL ANSEHEN</v>
      </c>
    </row>
    <row r="3357" spans="1:12" x14ac:dyDescent="0.2">
      <c r="A3357" t="s">
        <v>1941</v>
      </c>
      <c r="B3357" t="s">
        <v>1942</v>
      </c>
      <c r="C3357" t="s">
        <v>1812</v>
      </c>
      <c r="E3357" t="s">
        <v>1943</v>
      </c>
      <c r="F3357">
        <v>4914</v>
      </c>
      <c r="G3357" t="s">
        <v>105</v>
      </c>
      <c r="H3357" t="s">
        <v>16</v>
      </c>
      <c r="I3357" t="s">
        <v>1152</v>
      </c>
      <c r="J3357" t="s">
        <v>1153</v>
      </c>
      <c r="K3357" t="s">
        <v>1809</v>
      </c>
      <c r="L3357" t="str">
        <f>HYPERLINK("https://business-monitor.ch/de/companies/256056-power-kontakt-verlag-k-troller?utm_source=oberaargau","PROFIL ANSEHEN")</f>
        <v>PROFIL ANSEHEN</v>
      </c>
    </row>
    <row r="3358" spans="1:12" x14ac:dyDescent="0.2">
      <c r="A3358" t="s">
        <v>2447</v>
      </c>
      <c r="B3358" t="s">
        <v>2448</v>
      </c>
      <c r="C3358" t="s">
        <v>202</v>
      </c>
      <c r="E3358" t="s">
        <v>2449</v>
      </c>
      <c r="F3358">
        <v>4900</v>
      </c>
      <c r="G3358" t="s">
        <v>41</v>
      </c>
      <c r="H3358" t="s">
        <v>16</v>
      </c>
      <c r="I3358" t="s">
        <v>153</v>
      </c>
      <c r="J3358" t="s">
        <v>154</v>
      </c>
      <c r="K3358" t="s">
        <v>1809</v>
      </c>
      <c r="L3358" t="str">
        <f>HYPERLINK("https://business-monitor.ch/de/companies/520100-helmhart-gmbh?utm_source=oberaargau","PROFIL ANSEHEN")</f>
        <v>PROFIL ANSEHEN</v>
      </c>
    </row>
    <row r="3359" spans="1:12" x14ac:dyDescent="0.2">
      <c r="A3359" t="s">
        <v>4095</v>
      </c>
      <c r="B3359" t="s">
        <v>4096</v>
      </c>
      <c r="C3359" t="s">
        <v>13</v>
      </c>
      <c r="E3359" t="s">
        <v>584</v>
      </c>
      <c r="F3359">
        <v>3380</v>
      </c>
      <c r="G3359" t="s">
        <v>29</v>
      </c>
      <c r="H3359" t="s">
        <v>16</v>
      </c>
      <c r="I3359" t="s">
        <v>182</v>
      </c>
      <c r="J3359" t="s">
        <v>183</v>
      </c>
      <c r="K3359" t="s">
        <v>1809</v>
      </c>
      <c r="L3359" t="str">
        <f>HYPERLINK("https://business-monitor.ch/de/companies/1040307-cyst-holding-ag?utm_source=oberaargau","PROFIL ANSEHEN")</f>
        <v>PROFIL ANSEHEN</v>
      </c>
    </row>
    <row r="3360" spans="1:12" x14ac:dyDescent="0.2">
      <c r="A3360" t="s">
        <v>9329</v>
      </c>
      <c r="B3360" t="s">
        <v>9330</v>
      </c>
      <c r="C3360" t="s">
        <v>1812</v>
      </c>
      <c r="E3360" t="s">
        <v>9331</v>
      </c>
      <c r="F3360">
        <v>3368</v>
      </c>
      <c r="G3360" t="s">
        <v>308</v>
      </c>
      <c r="H3360" t="s">
        <v>16</v>
      </c>
      <c r="I3360" t="s">
        <v>551</v>
      </c>
      <c r="J3360" t="s">
        <v>552</v>
      </c>
      <c r="K3360" t="s">
        <v>1809</v>
      </c>
      <c r="L3360" t="str">
        <f>HYPERLINK("https://business-monitor.ch/de/companies/85757-daniel-beyer-db-solutions?utm_source=oberaargau","PROFIL ANSEHEN")</f>
        <v>PROFIL ANSEHEN</v>
      </c>
    </row>
    <row r="3361" spans="1:12" x14ac:dyDescent="0.2">
      <c r="A3361" t="s">
        <v>8135</v>
      </c>
      <c r="B3361" t="s">
        <v>8136</v>
      </c>
      <c r="C3361" t="s">
        <v>1812</v>
      </c>
      <c r="E3361" t="s">
        <v>8137</v>
      </c>
      <c r="F3361">
        <v>4923</v>
      </c>
      <c r="G3361" t="s">
        <v>732</v>
      </c>
      <c r="H3361" t="s">
        <v>16</v>
      </c>
      <c r="I3361" t="s">
        <v>1193</v>
      </c>
      <c r="J3361" t="s">
        <v>1194</v>
      </c>
      <c r="K3361" t="s">
        <v>1809</v>
      </c>
      <c r="L3361" t="str">
        <f>HYPERLINK("https://business-monitor.ch/de/companies/204113-radio-tv-m-schneider-inh-barbara-schneider?utm_source=oberaargau","PROFIL ANSEHEN")</f>
        <v>PROFIL ANSEHEN</v>
      </c>
    </row>
    <row r="3362" spans="1:12" x14ac:dyDescent="0.2">
      <c r="A3362" t="s">
        <v>5685</v>
      </c>
      <c r="B3362" t="s">
        <v>5686</v>
      </c>
      <c r="C3362" t="s">
        <v>1812</v>
      </c>
      <c r="E3362" t="s">
        <v>5687</v>
      </c>
      <c r="F3362">
        <v>3360</v>
      </c>
      <c r="G3362" t="s">
        <v>35</v>
      </c>
      <c r="H3362" t="s">
        <v>16</v>
      </c>
      <c r="I3362" t="s">
        <v>1766</v>
      </c>
      <c r="J3362" t="s">
        <v>1767</v>
      </c>
      <c r="K3362" t="s">
        <v>1809</v>
      </c>
      <c r="L3362" t="str">
        <f>HYPERLINK("https://business-monitor.ch/de/companies/207632-h-gerspacher-kino-rex?utm_source=oberaargau","PROFIL ANSEHEN")</f>
        <v>PROFIL ANSEHEN</v>
      </c>
    </row>
    <row r="3363" spans="1:12" x14ac:dyDescent="0.2">
      <c r="A3363" t="s">
        <v>2057</v>
      </c>
      <c r="B3363" t="s">
        <v>2058</v>
      </c>
      <c r="C3363" t="s">
        <v>1812</v>
      </c>
      <c r="E3363" t="s">
        <v>2059</v>
      </c>
      <c r="F3363">
        <v>4922</v>
      </c>
      <c r="G3363" t="s">
        <v>99</v>
      </c>
      <c r="H3363" t="s">
        <v>16</v>
      </c>
      <c r="I3363" t="s">
        <v>167</v>
      </c>
      <c r="J3363" t="s">
        <v>168</v>
      </c>
      <c r="K3363" t="s">
        <v>1809</v>
      </c>
      <c r="L3363" t="str">
        <f>HYPERLINK("https://business-monitor.ch/de/companies/171643-baugeschaeft-rickli?utm_source=oberaargau","PROFIL ANSEHEN")</f>
        <v>PROFIL ANSEHEN</v>
      </c>
    </row>
    <row r="3364" spans="1:12" x14ac:dyDescent="0.2">
      <c r="A3364" t="s">
        <v>4152</v>
      </c>
      <c r="B3364" t="s">
        <v>4153</v>
      </c>
      <c r="C3364" t="s">
        <v>202</v>
      </c>
      <c r="E3364" t="s">
        <v>3980</v>
      </c>
      <c r="F3364">
        <v>4950</v>
      </c>
      <c r="G3364" t="s">
        <v>15</v>
      </c>
      <c r="H3364" t="s">
        <v>16</v>
      </c>
      <c r="I3364" t="s">
        <v>824</v>
      </c>
      <c r="J3364" t="s">
        <v>825</v>
      </c>
      <c r="K3364" t="s">
        <v>1809</v>
      </c>
      <c r="L3364" t="str">
        <f>HYPERLINK("https://business-monitor.ch/de/companies/1018938-evin-gastro-gmbh?utm_source=oberaargau","PROFIL ANSEHEN")</f>
        <v>PROFIL ANSEHEN</v>
      </c>
    </row>
    <row r="3365" spans="1:12" x14ac:dyDescent="0.2">
      <c r="A3365" t="s">
        <v>9088</v>
      </c>
      <c r="B3365" t="s">
        <v>9089</v>
      </c>
      <c r="C3365" t="s">
        <v>13</v>
      </c>
      <c r="E3365" t="s">
        <v>9090</v>
      </c>
      <c r="F3365">
        <v>3360</v>
      </c>
      <c r="G3365" t="s">
        <v>35</v>
      </c>
      <c r="H3365" t="s">
        <v>16</v>
      </c>
      <c r="I3365" t="s">
        <v>134</v>
      </c>
      <c r="J3365" t="s">
        <v>135</v>
      </c>
      <c r="K3365" t="s">
        <v>1809</v>
      </c>
      <c r="L3365" t="str">
        <f>HYPERLINK("https://business-monitor.ch/de/companies/173766-elektro-gygax-ag?utm_source=oberaargau","PROFIL ANSEHEN")</f>
        <v>PROFIL ANSEHEN</v>
      </c>
    </row>
    <row r="3366" spans="1:12" x14ac:dyDescent="0.2">
      <c r="A3366" t="s">
        <v>5412</v>
      </c>
      <c r="B3366" t="s">
        <v>5413</v>
      </c>
      <c r="C3366" t="s">
        <v>1812</v>
      </c>
      <c r="E3366" t="s">
        <v>5414</v>
      </c>
      <c r="F3366">
        <v>4912</v>
      </c>
      <c r="G3366" t="s">
        <v>64</v>
      </c>
      <c r="H3366" t="s">
        <v>16</v>
      </c>
      <c r="I3366" t="s">
        <v>1193</v>
      </c>
      <c r="J3366" t="s">
        <v>1194</v>
      </c>
      <c r="K3366" t="s">
        <v>1809</v>
      </c>
      <c r="L3366" t="str">
        <f>HYPERLINK("https://business-monitor.ch/de/companies/261586-oltech-olsson-baumgartner?utm_source=oberaargau","PROFIL ANSEHEN")</f>
        <v>PROFIL ANSEHEN</v>
      </c>
    </row>
    <row r="3367" spans="1:12" x14ac:dyDescent="0.2">
      <c r="A3367" t="s">
        <v>3149</v>
      </c>
      <c r="B3367" t="s">
        <v>3150</v>
      </c>
      <c r="C3367" t="s">
        <v>202</v>
      </c>
      <c r="E3367" t="s">
        <v>3151</v>
      </c>
      <c r="F3367">
        <v>4922</v>
      </c>
      <c r="G3367" t="s">
        <v>99</v>
      </c>
      <c r="H3367" t="s">
        <v>16</v>
      </c>
      <c r="I3367" t="s">
        <v>157</v>
      </c>
      <c r="J3367" t="s">
        <v>158</v>
      </c>
      <c r="K3367" t="s">
        <v>1809</v>
      </c>
      <c r="L3367" t="str">
        <f>HYPERLINK("https://business-monitor.ch/de/companies/309858-gerber-steuer-kmu-beratung-gmbh?utm_source=oberaargau","PROFIL ANSEHEN")</f>
        <v>PROFIL ANSEHEN</v>
      </c>
    </row>
    <row r="3368" spans="1:12" x14ac:dyDescent="0.2">
      <c r="A3368" t="s">
        <v>3576</v>
      </c>
      <c r="B3368" t="s">
        <v>3577</v>
      </c>
      <c r="C3368" t="s">
        <v>202</v>
      </c>
      <c r="E3368" t="s">
        <v>589</v>
      </c>
      <c r="F3368">
        <v>4537</v>
      </c>
      <c r="G3368" t="s">
        <v>113</v>
      </c>
      <c r="H3368" t="s">
        <v>16</v>
      </c>
      <c r="I3368" t="s">
        <v>2555</v>
      </c>
      <c r="J3368" t="s">
        <v>2556</v>
      </c>
      <c r="K3368" t="s">
        <v>1809</v>
      </c>
      <c r="L3368" t="str">
        <f>HYPERLINK("https://business-monitor.ch/de/companies/112650-gehriger-und-walliser-gmbh?utm_source=oberaargau","PROFIL ANSEHEN")</f>
        <v>PROFIL ANSEHEN</v>
      </c>
    </row>
    <row r="3369" spans="1:12" x14ac:dyDescent="0.2">
      <c r="A3369" t="s">
        <v>2000</v>
      </c>
      <c r="B3369" t="s">
        <v>2001</v>
      </c>
      <c r="C3369" t="s">
        <v>13</v>
      </c>
      <c r="D3369" t="s">
        <v>2002</v>
      </c>
      <c r="E3369" t="s">
        <v>716</v>
      </c>
      <c r="F3369">
        <v>4914</v>
      </c>
      <c r="G3369" t="s">
        <v>717</v>
      </c>
      <c r="H3369" t="s">
        <v>16</v>
      </c>
      <c r="I3369" t="s">
        <v>1319</v>
      </c>
      <c r="J3369" t="s">
        <v>1320</v>
      </c>
      <c r="K3369" t="s">
        <v>1809</v>
      </c>
      <c r="L3369" t="str">
        <f>HYPERLINK("https://business-monitor.ch/de/companies/187688-ernst-gerber-holding-ag?utm_source=oberaargau","PROFIL ANSEHEN")</f>
        <v>PROFIL ANSEHEN</v>
      </c>
    </row>
    <row r="3370" spans="1:12" x14ac:dyDescent="0.2">
      <c r="A3370" t="s">
        <v>9778</v>
      </c>
      <c r="B3370" t="s">
        <v>9779</v>
      </c>
      <c r="C3370" t="s">
        <v>202</v>
      </c>
      <c r="D3370" t="s">
        <v>9780</v>
      </c>
      <c r="E3370" t="s">
        <v>8185</v>
      </c>
      <c r="F3370">
        <v>3380</v>
      </c>
      <c r="G3370" t="s">
        <v>29</v>
      </c>
      <c r="H3370" t="s">
        <v>16</v>
      </c>
      <c r="I3370" t="s">
        <v>2748</v>
      </c>
      <c r="J3370" t="s">
        <v>2749</v>
      </c>
      <c r="K3370" t="s">
        <v>1809</v>
      </c>
      <c r="L3370" t="str">
        <f>HYPERLINK("https://business-monitor.ch/de/companies/1024654-darkhaus-gmbh?utm_source=oberaargau","PROFIL ANSEHEN")</f>
        <v>PROFIL ANSEHEN</v>
      </c>
    </row>
    <row r="3371" spans="1:12" x14ac:dyDescent="0.2">
      <c r="A3371" t="s">
        <v>7076</v>
      </c>
      <c r="B3371" t="s">
        <v>7077</v>
      </c>
      <c r="C3371" t="s">
        <v>202</v>
      </c>
      <c r="E3371" t="s">
        <v>7078</v>
      </c>
      <c r="F3371">
        <v>4900</v>
      </c>
      <c r="G3371" t="s">
        <v>41</v>
      </c>
      <c r="H3371" t="s">
        <v>16</v>
      </c>
      <c r="I3371" t="s">
        <v>551</v>
      </c>
      <c r="J3371" t="s">
        <v>552</v>
      </c>
      <c r="K3371" t="s">
        <v>1809</v>
      </c>
      <c r="L3371" t="str">
        <f>HYPERLINK("https://business-monitor.ch/de/companies/1026156-adoris-gmbh?utm_source=oberaargau","PROFIL ANSEHEN")</f>
        <v>PROFIL ANSEHEN</v>
      </c>
    </row>
    <row r="3372" spans="1:12" x14ac:dyDescent="0.2">
      <c r="A3372" t="s">
        <v>3236</v>
      </c>
      <c r="B3372" t="s">
        <v>8940</v>
      </c>
      <c r="C3372" t="s">
        <v>202</v>
      </c>
      <c r="E3372" t="s">
        <v>1341</v>
      </c>
      <c r="F3372">
        <v>3360</v>
      </c>
      <c r="G3372" t="s">
        <v>35</v>
      </c>
      <c r="H3372" t="s">
        <v>16</v>
      </c>
      <c r="I3372" t="s">
        <v>59</v>
      </c>
      <c r="J3372" t="s">
        <v>60</v>
      </c>
      <c r="K3372" t="s">
        <v>1809</v>
      </c>
      <c r="L3372" t="str">
        <f>HYPERLINK("https://business-monitor.ch/de/companies/266329-orfe-gmbh?utm_source=oberaargau","PROFIL ANSEHEN")</f>
        <v>PROFIL ANSEHEN</v>
      </c>
    </row>
    <row r="3373" spans="1:12" x14ac:dyDescent="0.2">
      <c r="A3373" t="s">
        <v>4115</v>
      </c>
      <c r="B3373" t="s">
        <v>4116</v>
      </c>
      <c r="C3373" t="s">
        <v>202</v>
      </c>
      <c r="E3373" t="s">
        <v>4117</v>
      </c>
      <c r="F3373">
        <v>4917</v>
      </c>
      <c r="G3373" t="s">
        <v>376</v>
      </c>
      <c r="H3373" t="s">
        <v>16</v>
      </c>
      <c r="I3373" t="s">
        <v>854</v>
      </c>
      <c r="J3373" t="s">
        <v>855</v>
      </c>
      <c r="K3373" t="s">
        <v>1809</v>
      </c>
      <c r="L3373" t="str">
        <f>HYPERLINK("https://business-monitor.ch/de/companies/1033355-aulu-gmbh?utm_source=oberaargau","PROFIL ANSEHEN")</f>
        <v>PROFIL ANSEHEN</v>
      </c>
    </row>
    <row r="3374" spans="1:12" x14ac:dyDescent="0.2">
      <c r="A3374" t="s">
        <v>5443</v>
      </c>
      <c r="B3374" t="s">
        <v>5444</v>
      </c>
      <c r="C3374" t="s">
        <v>1812</v>
      </c>
      <c r="F3374">
        <v>4935</v>
      </c>
      <c r="G3374" t="s">
        <v>443</v>
      </c>
      <c r="H3374" t="s">
        <v>16</v>
      </c>
      <c r="I3374" t="s">
        <v>2315</v>
      </c>
      <c r="J3374" t="s">
        <v>2316</v>
      </c>
      <c r="K3374" t="s">
        <v>1809</v>
      </c>
      <c r="L3374" t="str">
        <f>HYPERLINK("https://business-monitor.ch/de/companies/218295-reist-viehhandel?utm_source=oberaargau","PROFIL ANSEHEN")</f>
        <v>PROFIL ANSEHEN</v>
      </c>
    </row>
    <row r="3375" spans="1:12" x14ac:dyDescent="0.2">
      <c r="A3375" t="s">
        <v>13234</v>
      </c>
      <c r="B3375" t="s">
        <v>13235</v>
      </c>
      <c r="C3375" t="s">
        <v>202</v>
      </c>
      <c r="E3375" t="s">
        <v>4380</v>
      </c>
      <c r="F3375">
        <v>3362</v>
      </c>
      <c r="G3375" t="s">
        <v>47</v>
      </c>
      <c r="H3375" t="s">
        <v>16</v>
      </c>
      <c r="I3375" t="s">
        <v>642</v>
      </c>
      <c r="J3375" t="s">
        <v>643</v>
      </c>
      <c r="K3375" t="s">
        <v>1809</v>
      </c>
      <c r="L3375" t="str">
        <f>HYPERLINK("https://business-monitor.ch/de/companies/1237292-felgentech-gmbh?utm_source=oberaargau","PROFIL ANSEHEN")</f>
        <v>PROFIL ANSEHEN</v>
      </c>
    </row>
    <row r="3376" spans="1:12" x14ac:dyDescent="0.2">
      <c r="A3376" t="s">
        <v>4237</v>
      </c>
      <c r="B3376" t="s">
        <v>4238</v>
      </c>
      <c r="C3376" t="s">
        <v>1812</v>
      </c>
      <c r="E3376" t="s">
        <v>12180</v>
      </c>
      <c r="F3376">
        <v>4938</v>
      </c>
      <c r="G3376" t="s">
        <v>618</v>
      </c>
      <c r="H3376" t="s">
        <v>16</v>
      </c>
      <c r="I3376" t="s">
        <v>1062</v>
      </c>
      <c r="J3376" t="s">
        <v>1063</v>
      </c>
      <c r="K3376" t="s">
        <v>1809</v>
      </c>
      <c r="L3376" t="str">
        <f>HYPERLINK("https://business-monitor.ch/de/companies/992200-adrian-flueckiger-plattenbelaege-ofenbau?utm_source=oberaargau","PROFIL ANSEHEN")</f>
        <v>PROFIL ANSEHEN</v>
      </c>
    </row>
    <row r="3377" spans="1:12" x14ac:dyDescent="0.2">
      <c r="A3377" t="s">
        <v>3696</v>
      </c>
      <c r="B3377" t="s">
        <v>3697</v>
      </c>
      <c r="C3377" t="s">
        <v>13</v>
      </c>
      <c r="D3377" t="s">
        <v>870</v>
      </c>
      <c r="E3377" t="s">
        <v>871</v>
      </c>
      <c r="F3377">
        <v>4934</v>
      </c>
      <c r="G3377" t="s">
        <v>670</v>
      </c>
      <c r="H3377" t="s">
        <v>16</v>
      </c>
      <c r="I3377" t="s">
        <v>186</v>
      </c>
      <c r="J3377" t="s">
        <v>187</v>
      </c>
      <c r="K3377" t="s">
        <v>1809</v>
      </c>
      <c r="L3377" t="str">
        <f>HYPERLINK("https://business-monitor.ch/de/companies/21241-hefe-gutenburg-holding-ag?utm_source=oberaargau","PROFIL ANSEHEN")</f>
        <v>PROFIL ANSEHEN</v>
      </c>
    </row>
    <row r="3378" spans="1:12" x14ac:dyDescent="0.2">
      <c r="A3378" t="s">
        <v>5437</v>
      </c>
      <c r="B3378" t="s">
        <v>5438</v>
      </c>
      <c r="C3378" t="s">
        <v>5439</v>
      </c>
      <c r="E3378" t="s">
        <v>5440</v>
      </c>
      <c r="F3378">
        <v>4912</v>
      </c>
      <c r="G3378" t="s">
        <v>64</v>
      </c>
      <c r="H3378" t="s">
        <v>16</v>
      </c>
      <c r="I3378" t="s">
        <v>955</v>
      </c>
      <c r="J3378" t="s">
        <v>956</v>
      </c>
      <c r="K3378" t="s">
        <v>1809</v>
      </c>
      <c r="L3378" t="str">
        <f>HYPERLINK("https://business-monitor.ch/de/companies/221624-weru-gmbh-rudersberg-d-zweigniederlassung-aarwangen?utm_source=oberaargau","PROFIL ANSEHEN")</f>
        <v>PROFIL ANSEHEN</v>
      </c>
    </row>
    <row r="3379" spans="1:12" x14ac:dyDescent="0.2">
      <c r="A3379" t="s">
        <v>2356</v>
      </c>
      <c r="B3379" t="s">
        <v>9073</v>
      </c>
      <c r="C3379" t="s">
        <v>1812</v>
      </c>
      <c r="E3379" t="s">
        <v>2073</v>
      </c>
      <c r="F3379">
        <v>3360</v>
      </c>
      <c r="G3379" t="s">
        <v>35</v>
      </c>
      <c r="H3379" t="s">
        <v>16</v>
      </c>
      <c r="I3379" t="s">
        <v>596</v>
      </c>
      <c r="J3379" t="s">
        <v>597</v>
      </c>
      <c r="K3379" t="s">
        <v>1809</v>
      </c>
      <c r="L3379" t="str">
        <f>HYPERLINK("https://business-monitor.ch/de/companies/176237-getraenkehandlung-schneeberger?utm_source=oberaargau","PROFIL ANSEHEN")</f>
        <v>PROFIL ANSEHEN</v>
      </c>
    </row>
    <row r="3380" spans="1:12" x14ac:dyDescent="0.2">
      <c r="A3380" t="s">
        <v>6661</v>
      </c>
      <c r="B3380" t="s">
        <v>6662</v>
      </c>
      <c r="C3380" t="s">
        <v>1812</v>
      </c>
      <c r="E3380" t="s">
        <v>1161</v>
      </c>
      <c r="F3380">
        <v>4900</v>
      </c>
      <c r="G3380" t="s">
        <v>41</v>
      </c>
      <c r="H3380" t="s">
        <v>16</v>
      </c>
      <c r="I3380" t="s">
        <v>1952</v>
      </c>
      <c r="J3380" t="s">
        <v>1953</v>
      </c>
      <c r="K3380" t="s">
        <v>1809</v>
      </c>
      <c r="L3380" t="str">
        <f>HYPERLINK("https://business-monitor.ch/de/companies/177174-ebz-zeller?utm_source=oberaargau","PROFIL ANSEHEN")</f>
        <v>PROFIL ANSEHEN</v>
      </c>
    </row>
    <row r="3381" spans="1:12" x14ac:dyDescent="0.2">
      <c r="A3381" t="s">
        <v>6658</v>
      </c>
      <c r="B3381" t="s">
        <v>6659</v>
      </c>
      <c r="C3381" t="s">
        <v>202</v>
      </c>
      <c r="E3381" t="s">
        <v>6660</v>
      </c>
      <c r="F3381">
        <v>4923</v>
      </c>
      <c r="G3381" t="s">
        <v>732</v>
      </c>
      <c r="H3381" t="s">
        <v>16</v>
      </c>
      <c r="I3381" t="s">
        <v>1970</v>
      </c>
      <c r="J3381" t="s">
        <v>1971</v>
      </c>
      <c r="K3381" t="s">
        <v>1809</v>
      </c>
      <c r="L3381" t="str">
        <f>HYPERLINK("https://business-monitor.ch/de/companies/177211-hvao-gmbh?utm_source=oberaargau","PROFIL ANSEHEN")</f>
        <v>PROFIL ANSEHEN</v>
      </c>
    </row>
    <row r="3382" spans="1:12" x14ac:dyDescent="0.2">
      <c r="A3382" t="s">
        <v>676</v>
      </c>
      <c r="B3382" t="s">
        <v>677</v>
      </c>
      <c r="C3382" t="s">
        <v>13</v>
      </c>
      <c r="E3382" t="s">
        <v>678</v>
      </c>
      <c r="F3382">
        <v>3360</v>
      </c>
      <c r="G3382" t="s">
        <v>35</v>
      </c>
      <c r="H3382" t="s">
        <v>16</v>
      </c>
      <c r="I3382" t="s">
        <v>679</v>
      </c>
      <c r="J3382" t="s">
        <v>680</v>
      </c>
      <c r="K3382" t="s">
        <v>1809</v>
      </c>
      <c r="L3382" t="str">
        <f>HYPERLINK("https://business-monitor.ch/de/companies/72460-raess-trennwaende-schraenke-ag?utm_source=oberaargau","PROFIL ANSEHEN")</f>
        <v>PROFIL ANSEHEN</v>
      </c>
    </row>
    <row r="3383" spans="1:12" x14ac:dyDescent="0.2">
      <c r="A3383" t="s">
        <v>10710</v>
      </c>
      <c r="B3383" t="s">
        <v>10711</v>
      </c>
      <c r="C3383" t="s">
        <v>202</v>
      </c>
      <c r="E3383" t="s">
        <v>14565</v>
      </c>
      <c r="F3383">
        <v>4934</v>
      </c>
      <c r="G3383" t="s">
        <v>670</v>
      </c>
      <c r="H3383" t="s">
        <v>16</v>
      </c>
      <c r="I3383" t="s">
        <v>570</v>
      </c>
      <c r="J3383" t="s">
        <v>571</v>
      </c>
      <c r="K3383" t="s">
        <v>1809</v>
      </c>
      <c r="L3383" t="str">
        <f>HYPERLINK("https://business-monitor.ch/de/companies/270092-zaugg-gmbh-heizungen-und-installationen?utm_source=oberaargau","PROFIL ANSEHEN")</f>
        <v>PROFIL ANSEHEN</v>
      </c>
    </row>
    <row r="3384" spans="1:12" x14ac:dyDescent="0.2">
      <c r="A3384" t="s">
        <v>2844</v>
      </c>
      <c r="B3384" t="s">
        <v>2845</v>
      </c>
      <c r="C3384" t="s">
        <v>1812</v>
      </c>
      <c r="E3384" t="s">
        <v>2846</v>
      </c>
      <c r="F3384">
        <v>4900</v>
      </c>
      <c r="G3384" t="s">
        <v>41</v>
      </c>
      <c r="H3384" t="s">
        <v>16</v>
      </c>
      <c r="I3384" t="s">
        <v>748</v>
      </c>
      <c r="J3384" t="s">
        <v>749</v>
      </c>
      <c r="K3384" t="s">
        <v>1809</v>
      </c>
      <c r="L3384" t="str">
        <f>HYPERLINK("https://business-monitor.ch/de/companies/979723-malerei-vangelista?utm_source=oberaargau","PROFIL ANSEHEN")</f>
        <v>PROFIL ANSEHEN</v>
      </c>
    </row>
    <row r="3385" spans="1:12" x14ac:dyDescent="0.2">
      <c r="A3385" t="s">
        <v>10721</v>
      </c>
      <c r="B3385" t="s">
        <v>10722</v>
      </c>
      <c r="C3385" t="s">
        <v>13</v>
      </c>
      <c r="E3385" t="s">
        <v>10723</v>
      </c>
      <c r="F3385">
        <v>4912</v>
      </c>
      <c r="G3385" t="s">
        <v>64</v>
      </c>
      <c r="H3385" t="s">
        <v>16</v>
      </c>
      <c r="I3385" t="s">
        <v>1267</v>
      </c>
      <c r="J3385" t="s">
        <v>1268</v>
      </c>
      <c r="K3385" t="s">
        <v>1809</v>
      </c>
      <c r="L3385" t="str">
        <f>HYPERLINK("https://business-monitor.ch/de/companies/228553-geiser-schmutz-ag-aarwangen?utm_source=oberaargau","PROFIL ANSEHEN")</f>
        <v>PROFIL ANSEHEN</v>
      </c>
    </row>
    <row r="3386" spans="1:12" x14ac:dyDescent="0.2">
      <c r="A3386" t="s">
        <v>14566</v>
      </c>
      <c r="B3386" t="s">
        <v>14567</v>
      </c>
      <c r="C3386" t="s">
        <v>202</v>
      </c>
      <c r="E3386" t="s">
        <v>1639</v>
      </c>
      <c r="F3386">
        <v>3373</v>
      </c>
      <c r="G3386" t="s">
        <v>2429</v>
      </c>
      <c r="H3386" t="s">
        <v>16</v>
      </c>
      <c r="I3386" t="s">
        <v>570</v>
      </c>
      <c r="J3386" t="s">
        <v>571</v>
      </c>
      <c r="K3386" t="s">
        <v>1809</v>
      </c>
      <c r="L3386" t="str">
        <f>HYPERLINK("https://business-monitor.ch/de/companies/1308462-varia-pools-gmbh?utm_source=oberaargau","PROFIL ANSEHEN")</f>
        <v>PROFIL ANSEHEN</v>
      </c>
    </row>
    <row r="3387" spans="1:12" x14ac:dyDescent="0.2">
      <c r="A3387" t="s">
        <v>3943</v>
      </c>
      <c r="B3387" t="s">
        <v>3944</v>
      </c>
      <c r="C3387" t="s">
        <v>1812</v>
      </c>
      <c r="E3387" t="s">
        <v>3945</v>
      </c>
      <c r="F3387">
        <v>3367</v>
      </c>
      <c r="G3387" t="s">
        <v>455</v>
      </c>
      <c r="H3387" t="s">
        <v>16</v>
      </c>
      <c r="I3387" t="s">
        <v>1267</v>
      </c>
      <c r="J3387" t="s">
        <v>1268</v>
      </c>
      <c r="K3387" t="s">
        <v>1809</v>
      </c>
      <c r="L3387" t="str">
        <f>HYPERLINK("https://business-monitor.ch/de/companies/532104-somlyte-christina-sommer?utm_source=oberaargau","PROFIL ANSEHEN")</f>
        <v>PROFIL ANSEHEN</v>
      </c>
    </row>
    <row r="3388" spans="1:12" x14ac:dyDescent="0.2">
      <c r="A3388" t="s">
        <v>6547</v>
      </c>
      <c r="B3388" t="s">
        <v>6548</v>
      </c>
      <c r="C3388" t="s">
        <v>1812</v>
      </c>
      <c r="E3388" t="s">
        <v>6549</v>
      </c>
      <c r="F3388">
        <v>4914</v>
      </c>
      <c r="G3388" t="s">
        <v>717</v>
      </c>
      <c r="H3388" t="s">
        <v>16</v>
      </c>
      <c r="I3388" t="s">
        <v>6550</v>
      </c>
      <c r="J3388" t="s">
        <v>6551</v>
      </c>
      <c r="K3388" t="s">
        <v>1809</v>
      </c>
      <c r="L3388" t="str">
        <f>HYPERLINK("https://business-monitor.ch/de/companies/230477-gotthard-pluess-schaer?utm_source=oberaargau","PROFIL ANSEHEN")</f>
        <v>PROFIL ANSEHEN</v>
      </c>
    </row>
    <row r="3389" spans="1:12" x14ac:dyDescent="0.2">
      <c r="A3389" t="s">
        <v>12321</v>
      </c>
      <c r="B3389" t="s">
        <v>12322</v>
      </c>
      <c r="C3389" t="s">
        <v>202</v>
      </c>
      <c r="D3389" t="s">
        <v>12323</v>
      </c>
      <c r="E3389" t="s">
        <v>2147</v>
      </c>
      <c r="F3389">
        <v>4952</v>
      </c>
      <c r="G3389" t="s">
        <v>474</v>
      </c>
      <c r="H3389" t="s">
        <v>16</v>
      </c>
      <c r="I3389" t="s">
        <v>331</v>
      </c>
      <c r="J3389" t="s">
        <v>332</v>
      </c>
      <c r="K3389" t="s">
        <v>1809</v>
      </c>
      <c r="L3389" t="str">
        <f>HYPERLINK("https://business-monitor.ch/de/companies/1190266-helden-werkstatt-gmbh?utm_source=oberaargau","PROFIL ANSEHEN")</f>
        <v>PROFIL ANSEHEN</v>
      </c>
    </row>
    <row r="3390" spans="1:12" x14ac:dyDescent="0.2">
      <c r="A3390" t="s">
        <v>4107</v>
      </c>
      <c r="B3390" t="s">
        <v>12555</v>
      </c>
      <c r="C3390" t="s">
        <v>13</v>
      </c>
      <c r="E3390" t="s">
        <v>1130</v>
      </c>
      <c r="F3390">
        <v>4900</v>
      </c>
      <c r="G3390" t="s">
        <v>41</v>
      </c>
      <c r="H3390" t="s">
        <v>16</v>
      </c>
      <c r="I3390" t="s">
        <v>157</v>
      </c>
      <c r="J3390" t="s">
        <v>158</v>
      </c>
      <c r="K3390" t="s">
        <v>1809</v>
      </c>
      <c r="L3390" t="str">
        <f>HYPERLINK("https://business-monitor.ch/de/companies/1036322-rigert-immobilien-ag?utm_source=oberaargau","PROFIL ANSEHEN")</f>
        <v>PROFIL ANSEHEN</v>
      </c>
    </row>
    <row r="3391" spans="1:12" x14ac:dyDescent="0.2">
      <c r="A3391" t="s">
        <v>9755</v>
      </c>
      <c r="B3391" t="s">
        <v>9756</v>
      </c>
      <c r="C3391" t="s">
        <v>202</v>
      </c>
      <c r="E3391" t="s">
        <v>1108</v>
      </c>
      <c r="F3391">
        <v>4900</v>
      </c>
      <c r="G3391" t="s">
        <v>41</v>
      </c>
      <c r="H3391" t="s">
        <v>16</v>
      </c>
      <c r="I3391" t="s">
        <v>1296</v>
      </c>
      <c r="J3391" t="s">
        <v>1297</v>
      </c>
      <c r="K3391" t="s">
        <v>1809</v>
      </c>
      <c r="L3391" t="str">
        <f>HYPERLINK("https://business-monitor.ch/de/companies/1030563-commpas-communication-gmbh?utm_source=oberaargau","PROFIL ANSEHEN")</f>
        <v>PROFIL ANSEHEN</v>
      </c>
    </row>
    <row r="3392" spans="1:12" x14ac:dyDescent="0.2">
      <c r="A3392" t="s">
        <v>12908</v>
      </c>
      <c r="B3392" t="s">
        <v>12909</v>
      </c>
      <c r="C3392" t="s">
        <v>202</v>
      </c>
      <c r="E3392" t="s">
        <v>4405</v>
      </c>
      <c r="F3392">
        <v>4537</v>
      </c>
      <c r="G3392" t="s">
        <v>113</v>
      </c>
      <c r="H3392" t="s">
        <v>16</v>
      </c>
      <c r="I3392" t="s">
        <v>420</v>
      </c>
      <c r="J3392" t="s">
        <v>421</v>
      </c>
      <c r="K3392" t="s">
        <v>1809</v>
      </c>
      <c r="L3392" t="str">
        <f>HYPERLINK("https://business-monitor.ch/de/companies/1032925-rent-a-car-more-gmbh?utm_source=oberaargau","PROFIL ANSEHEN")</f>
        <v>PROFIL ANSEHEN</v>
      </c>
    </row>
    <row r="3393" spans="1:12" x14ac:dyDescent="0.2">
      <c r="A3393" t="s">
        <v>9713</v>
      </c>
      <c r="B3393" t="s">
        <v>9714</v>
      </c>
      <c r="C3393" t="s">
        <v>202</v>
      </c>
      <c r="E3393" t="s">
        <v>9715</v>
      </c>
      <c r="F3393">
        <v>3360</v>
      </c>
      <c r="G3393" t="s">
        <v>35</v>
      </c>
      <c r="H3393" t="s">
        <v>16</v>
      </c>
      <c r="I3393" t="s">
        <v>935</v>
      </c>
      <c r="J3393" t="s">
        <v>936</v>
      </c>
      <c r="K3393" t="s">
        <v>1809</v>
      </c>
      <c r="L3393" t="str">
        <f>HYPERLINK("https://business-monitor.ch/de/companies/1046824-has-immo-gmbh?utm_source=oberaargau","PROFIL ANSEHEN")</f>
        <v>PROFIL ANSEHEN</v>
      </c>
    </row>
    <row r="3394" spans="1:12" x14ac:dyDescent="0.2">
      <c r="A3394" t="s">
        <v>7686</v>
      </c>
      <c r="B3394" t="s">
        <v>7687</v>
      </c>
      <c r="C3394" t="s">
        <v>13</v>
      </c>
      <c r="D3394" t="s">
        <v>7688</v>
      </c>
      <c r="E3394" t="s">
        <v>7689</v>
      </c>
      <c r="F3394">
        <v>4900</v>
      </c>
      <c r="G3394" t="s">
        <v>41</v>
      </c>
      <c r="H3394" t="s">
        <v>16</v>
      </c>
      <c r="I3394" t="s">
        <v>182</v>
      </c>
      <c r="J3394" t="s">
        <v>183</v>
      </c>
      <c r="K3394" t="s">
        <v>1809</v>
      </c>
      <c r="L3394" t="str">
        <f>HYPERLINK("https://business-monitor.ch/de/companies/615661-phy-holding-ag?utm_source=oberaargau","PROFIL ANSEHEN")</f>
        <v>PROFIL ANSEHEN</v>
      </c>
    </row>
    <row r="3395" spans="1:12" x14ac:dyDescent="0.2">
      <c r="A3395" t="s">
        <v>9003</v>
      </c>
      <c r="B3395" t="s">
        <v>9004</v>
      </c>
      <c r="C3395" t="s">
        <v>13</v>
      </c>
      <c r="D3395" t="s">
        <v>5210</v>
      </c>
      <c r="E3395" t="s">
        <v>1200</v>
      </c>
      <c r="F3395">
        <v>4900</v>
      </c>
      <c r="G3395" t="s">
        <v>41</v>
      </c>
      <c r="H3395" t="s">
        <v>16</v>
      </c>
      <c r="I3395" t="s">
        <v>186</v>
      </c>
      <c r="J3395" t="s">
        <v>187</v>
      </c>
      <c r="K3395" t="s">
        <v>1809</v>
      </c>
      <c r="L3395" t="str">
        <f>HYPERLINK("https://business-monitor.ch/de/companies/234020-brmm-holding-ag-langenthal?utm_source=oberaargau","PROFIL ANSEHEN")</f>
        <v>PROFIL ANSEHEN</v>
      </c>
    </row>
    <row r="3396" spans="1:12" x14ac:dyDescent="0.2">
      <c r="A3396" t="s">
        <v>13792</v>
      </c>
      <c r="B3396" t="s">
        <v>13793</v>
      </c>
      <c r="C3396" t="s">
        <v>1812</v>
      </c>
      <c r="E3396" t="s">
        <v>14568</v>
      </c>
      <c r="F3396">
        <v>3367</v>
      </c>
      <c r="G3396" t="s">
        <v>455</v>
      </c>
      <c r="H3396" t="s">
        <v>16</v>
      </c>
      <c r="I3396" t="s">
        <v>1865</v>
      </c>
      <c r="J3396" t="s">
        <v>1866</v>
      </c>
      <c r="K3396" t="s">
        <v>1809</v>
      </c>
      <c r="L3396" t="str">
        <f>HYPERLINK("https://business-monitor.ch/de/companies/1265808-umzug-adler-inh-ibrahimkhel?utm_source=oberaargau","PROFIL ANSEHEN")</f>
        <v>PROFIL ANSEHEN</v>
      </c>
    </row>
    <row r="3397" spans="1:12" x14ac:dyDescent="0.2">
      <c r="A3397" t="s">
        <v>11273</v>
      </c>
      <c r="B3397" t="s">
        <v>11274</v>
      </c>
      <c r="C3397" t="s">
        <v>202</v>
      </c>
      <c r="E3397" t="s">
        <v>1484</v>
      </c>
      <c r="F3397">
        <v>4900</v>
      </c>
      <c r="G3397" t="s">
        <v>41</v>
      </c>
      <c r="H3397" t="s">
        <v>16</v>
      </c>
      <c r="I3397" t="s">
        <v>157</v>
      </c>
      <c r="J3397" t="s">
        <v>158</v>
      </c>
      <c r="K3397" t="s">
        <v>1809</v>
      </c>
      <c r="L3397" t="str">
        <f>HYPERLINK("https://business-monitor.ch/de/companies/1129848-aspectiva-gmbh?utm_source=oberaargau","PROFIL ANSEHEN")</f>
        <v>PROFIL ANSEHEN</v>
      </c>
    </row>
    <row r="3398" spans="1:12" x14ac:dyDescent="0.2">
      <c r="A3398" t="s">
        <v>7475</v>
      </c>
      <c r="B3398" t="s">
        <v>7476</v>
      </c>
      <c r="C3398" t="s">
        <v>1812</v>
      </c>
      <c r="E3398" t="s">
        <v>7477</v>
      </c>
      <c r="F3398">
        <v>3373</v>
      </c>
      <c r="G3398" t="s">
        <v>2697</v>
      </c>
      <c r="H3398" t="s">
        <v>16</v>
      </c>
      <c r="I3398" t="s">
        <v>1267</v>
      </c>
      <c r="J3398" t="s">
        <v>1268</v>
      </c>
      <c r="K3398" t="s">
        <v>1809</v>
      </c>
      <c r="L3398" t="str">
        <f>HYPERLINK("https://business-monitor.ch/de/companies/120314-howald-services-trade?utm_source=oberaargau","PROFIL ANSEHEN")</f>
        <v>PROFIL ANSEHEN</v>
      </c>
    </row>
    <row r="3399" spans="1:12" x14ac:dyDescent="0.2">
      <c r="A3399" t="s">
        <v>6749</v>
      </c>
      <c r="B3399" t="s">
        <v>6750</v>
      </c>
      <c r="C3399" t="s">
        <v>1812</v>
      </c>
      <c r="E3399" t="s">
        <v>6751</v>
      </c>
      <c r="F3399">
        <v>3380</v>
      </c>
      <c r="G3399" t="s">
        <v>29</v>
      </c>
      <c r="H3399" t="s">
        <v>16</v>
      </c>
      <c r="I3399" t="s">
        <v>6752</v>
      </c>
      <c r="J3399" t="s">
        <v>6753</v>
      </c>
      <c r="K3399" t="s">
        <v>1809</v>
      </c>
      <c r="L3399" t="str">
        <f>HYPERLINK("https://business-monitor.ch/de/companies/122447-kunstgiesserei-urs-lebdowicz?utm_source=oberaargau","PROFIL ANSEHEN")</f>
        <v>PROFIL ANSEHEN</v>
      </c>
    </row>
    <row r="3400" spans="1:12" x14ac:dyDescent="0.2">
      <c r="A3400" t="s">
        <v>4229</v>
      </c>
      <c r="B3400" t="s">
        <v>4230</v>
      </c>
      <c r="C3400" t="s">
        <v>13</v>
      </c>
      <c r="E3400" t="s">
        <v>954</v>
      </c>
      <c r="F3400">
        <v>4950</v>
      </c>
      <c r="G3400" t="s">
        <v>15</v>
      </c>
      <c r="H3400" t="s">
        <v>16</v>
      </c>
      <c r="I3400" t="s">
        <v>182</v>
      </c>
      <c r="J3400" t="s">
        <v>183</v>
      </c>
      <c r="K3400" t="s">
        <v>1809</v>
      </c>
      <c r="L3400" t="str">
        <f>HYPERLINK("https://business-monitor.ch/de/companies/993385-russo-holding-ag?utm_source=oberaargau","PROFIL ANSEHEN")</f>
        <v>PROFIL ANSEHEN</v>
      </c>
    </row>
    <row r="3401" spans="1:12" x14ac:dyDescent="0.2">
      <c r="A3401" t="s">
        <v>6430</v>
      </c>
      <c r="B3401" t="s">
        <v>6431</v>
      </c>
      <c r="C3401" t="s">
        <v>1812</v>
      </c>
      <c r="F3401">
        <v>4936</v>
      </c>
      <c r="G3401" t="s">
        <v>768</v>
      </c>
      <c r="H3401" t="s">
        <v>16</v>
      </c>
      <c r="I3401" t="s">
        <v>514</v>
      </c>
      <c r="J3401" t="s">
        <v>515</v>
      </c>
      <c r="K3401" t="s">
        <v>1809</v>
      </c>
      <c r="L3401" t="str">
        <f>HYPERLINK("https://business-monitor.ch/de/companies/283566-hans-sollberger?utm_source=oberaargau","PROFIL ANSEHEN")</f>
        <v>PROFIL ANSEHEN</v>
      </c>
    </row>
    <row r="3402" spans="1:12" x14ac:dyDescent="0.2">
      <c r="A3402" t="s">
        <v>9503</v>
      </c>
      <c r="B3402" t="s">
        <v>9504</v>
      </c>
      <c r="C3402" t="s">
        <v>1812</v>
      </c>
      <c r="E3402" t="s">
        <v>9505</v>
      </c>
      <c r="F3402">
        <v>4538</v>
      </c>
      <c r="G3402" t="s">
        <v>71</v>
      </c>
      <c r="H3402" t="s">
        <v>16</v>
      </c>
      <c r="I3402" t="s">
        <v>2748</v>
      </c>
      <c r="J3402" t="s">
        <v>2749</v>
      </c>
      <c r="K3402" t="s">
        <v>1809</v>
      </c>
      <c r="L3402" t="str">
        <f>HYPERLINK("https://business-monitor.ch/de/companies/961264-hundeschule-barry-und-hundepension-inhaberin-barbara-ryser?utm_source=oberaargau","PROFIL ANSEHEN")</f>
        <v>PROFIL ANSEHEN</v>
      </c>
    </row>
    <row r="3403" spans="1:12" x14ac:dyDescent="0.2">
      <c r="A3403" t="s">
        <v>8663</v>
      </c>
      <c r="B3403" t="s">
        <v>8664</v>
      </c>
      <c r="C3403" t="s">
        <v>202</v>
      </c>
      <c r="E3403" t="s">
        <v>8665</v>
      </c>
      <c r="F3403">
        <v>4900</v>
      </c>
      <c r="G3403" t="s">
        <v>41</v>
      </c>
      <c r="H3403" t="s">
        <v>16</v>
      </c>
      <c r="I3403" t="s">
        <v>2622</v>
      </c>
      <c r="J3403" t="s">
        <v>2623</v>
      </c>
      <c r="K3403" t="s">
        <v>1809</v>
      </c>
      <c r="L3403" t="str">
        <f>HYPERLINK("https://business-monitor.ch/de/companies/216707-ts-rundreifen-gmbh?utm_source=oberaargau","PROFIL ANSEHEN")</f>
        <v>PROFIL ANSEHEN</v>
      </c>
    </row>
    <row r="3404" spans="1:12" x14ac:dyDescent="0.2">
      <c r="A3404" t="s">
        <v>5600</v>
      </c>
      <c r="B3404" t="s">
        <v>5601</v>
      </c>
      <c r="C3404" t="s">
        <v>1812</v>
      </c>
      <c r="E3404" t="s">
        <v>10811</v>
      </c>
      <c r="F3404">
        <v>4900</v>
      </c>
      <c r="G3404" t="s">
        <v>41</v>
      </c>
      <c r="H3404" t="s">
        <v>16</v>
      </c>
      <c r="I3404" t="s">
        <v>4105</v>
      </c>
      <c r="J3404" t="s">
        <v>4106</v>
      </c>
      <c r="K3404" t="s">
        <v>1809</v>
      </c>
      <c r="L3404" t="str">
        <f>HYPERLINK("https://business-monitor.ch/de/companies/1054829-lopes-daniel?utm_source=oberaargau","PROFIL ANSEHEN")</f>
        <v>PROFIL ANSEHEN</v>
      </c>
    </row>
    <row r="3405" spans="1:12" x14ac:dyDescent="0.2">
      <c r="A3405" t="s">
        <v>5500</v>
      </c>
      <c r="B3405" t="s">
        <v>5501</v>
      </c>
      <c r="C3405" t="s">
        <v>1812</v>
      </c>
      <c r="E3405" t="s">
        <v>5502</v>
      </c>
      <c r="F3405">
        <v>3360</v>
      </c>
      <c r="G3405" t="s">
        <v>35</v>
      </c>
      <c r="H3405" t="s">
        <v>16</v>
      </c>
      <c r="I3405" t="s">
        <v>514</v>
      </c>
      <c r="J3405" t="s">
        <v>515</v>
      </c>
      <c r="K3405" t="s">
        <v>1809</v>
      </c>
      <c r="L3405" t="str">
        <f>HYPERLINK("https://business-monitor.ch/de/companies/141644-fr-maurer-kohler?utm_source=oberaargau","PROFIL ANSEHEN")</f>
        <v>PROFIL ANSEHEN</v>
      </c>
    </row>
    <row r="3406" spans="1:12" x14ac:dyDescent="0.2">
      <c r="A3406" t="s">
        <v>11346</v>
      </c>
      <c r="B3406" t="s">
        <v>11347</v>
      </c>
      <c r="C3406" t="s">
        <v>202</v>
      </c>
      <c r="E3406" t="s">
        <v>11348</v>
      </c>
      <c r="F3406">
        <v>4932</v>
      </c>
      <c r="G3406" t="s">
        <v>325</v>
      </c>
      <c r="H3406" t="s">
        <v>16</v>
      </c>
      <c r="I3406" t="s">
        <v>935</v>
      </c>
      <c r="J3406" t="s">
        <v>936</v>
      </c>
      <c r="K3406" t="s">
        <v>1809</v>
      </c>
      <c r="L3406" t="str">
        <f>HYPERLINK("https://business-monitor.ch/de/companies/1126566-zwahlen-immobilien-gmbh?utm_source=oberaargau","PROFIL ANSEHEN")</f>
        <v>PROFIL ANSEHEN</v>
      </c>
    </row>
    <row r="3407" spans="1:12" x14ac:dyDescent="0.2">
      <c r="A3407" t="s">
        <v>5136</v>
      </c>
      <c r="B3407" t="s">
        <v>5137</v>
      </c>
      <c r="C3407" t="s">
        <v>1827</v>
      </c>
      <c r="E3407" t="s">
        <v>5138</v>
      </c>
      <c r="F3407">
        <v>4537</v>
      </c>
      <c r="G3407" t="s">
        <v>113</v>
      </c>
      <c r="H3407" t="s">
        <v>16</v>
      </c>
      <c r="I3407" t="s">
        <v>232</v>
      </c>
      <c r="J3407" t="s">
        <v>233</v>
      </c>
      <c r="K3407" t="s">
        <v>1809</v>
      </c>
      <c r="L3407" t="str">
        <f>HYPERLINK("https://business-monitor.ch/de/companies/261013-jaggi-partner?utm_source=oberaargau","PROFIL ANSEHEN")</f>
        <v>PROFIL ANSEHEN</v>
      </c>
    </row>
    <row r="3408" spans="1:12" x14ac:dyDescent="0.2">
      <c r="A3408" t="s">
        <v>7204</v>
      </c>
      <c r="B3408" t="s">
        <v>7205</v>
      </c>
      <c r="C3408" t="s">
        <v>1827</v>
      </c>
      <c r="E3408" t="s">
        <v>7206</v>
      </c>
      <c r="F3408">
        <v>3380</v>
      </c>
      <c r="G3408" t="s">
        <v>29</v>
      </c>
      <c r="H3408" t="s">
        <v>16</v>
      </c>
      <c r="I3408" t="s">
        <v>3797</v>
      </c>
      <c r="J3408" t="s">
        <v>3798</v>
      </c>
      <c r="K3408" t="s">
        <v>1809</v>
      </c>
      <c r="L3408" t="str">
        <f>HYPERLINK("https://business-monitor.ch/de/companies/1037342-nika-store-klg?utm_source=oberaargau","PROFIL ANSEHEN")</f>
        <v>PROFIL ANSEHEN</v>
      </c>
    </row>
    <row r="3409" spans="1:12" x14ac:dyDescent="0.2">
      <c r="A3409" t="s">
        <v>12083</v>
      </c>
      <c r="B3409" t="s">
        <v>13864</v>
      </c>
      <c r="C3409" t="s">
        <v>1812</v>
      </c>
      <c r="E3409" t="s">
        <v>13865</v>
      </c>
      <c r="F3409">
        <v>4933</v>
      </c>
      <c r="G3409" t="s">
        <v>3812</v>
      </c>
      <c r="H3409" t="s">
        <v>16</v>
      </c>
      <c r="I3409" t="s">
        <v>2800</v>
      </c>
      <c r="J3409" t="s">
        <v>2801</v>
      </c>
      <c r="K3409" t="s">
        <v>1809</v>
      </c>
      <c r="L3409" t="str">
        <f>HYPERLINK("https://business-monitor.ch/de/companies/1275180-4-lives-by-kaufmann?utm_source=oberaargau","PROFIL ANSEHEN")</f>
        <v>PROFIL ANSEHEN</v>
      </c>
    </row>
    <row r="3410" spans="1:12" x14ac:dyDescent="0.2">
      <c r="A3410" t="s">
        <v>10326</v>
      </c>
      <c r="B3410" t="s">
        <v>10327</v>
      </c>
      <c r="C3410" t="s">
        <v>13</v>
      </c>
      <c r="E3410" t="s">
        <v>5870</v>
      </c>
      <c r="F3410">
        <v>4539</v>
      </c>
      <c r="G3410" t="s">
        <v>1134</v>
      </c>
      <c r="H3410" t="s">
        <v>16</v>
      </c>
      <c r="I3410" t="s">
        <v>186</v>
      </c>
      <c r="J3410" t="s">
        <v>187</v>
      </c>
      <c r="K3410" t="s">
        <v>1809</v>
      </c>
      <c r="L3410" t="str">
        <f>HYPERLINK("https://business-monitor.ch/de/companies/549059-richard-holding-ag?utm_source=oberaargau","PROFIL ANSEHEN")</f>
        <v>PROFIL ANSEHEN</v>
      </c>
    </row>
    <row r="3411" spans="1:12" x14ac:dyDescent="0.2">
      <c r="A3411" t="s">
        <v>10686</v>
      </c>
      <c r="B3411" t="s">
        <v>10687</v>
      </c>
      <c r="C3411" t="s">
        <v>202</v>
      </c>
      <c r="E3411" t="s">
        <v>1016</v>
      </c>
      <c r="F3411">
        <v>4914</v>
      </c>
      <c r="G3411" t="s">
        <v>105</v>
      </c>
      <c r="H3411" t="s">
        <v>16</v>
      </c>
      <c r="I3411" t="s">
        <v>3493</v>
      </c>
      <c r="J3411" t="s">
        <v>3494</v>
      </c>
      <c r="K3411" t="s">
        <v>1809</v>
      </c>
      <c r="L3411" t="str">
        <f>HYPERLINK("https://business-monitor.ch/de/companies/463176-investment-expert-gmbh?utm_source=oberaargau","PROFIL ANSEHEN")</f>
        <v>PROFIL ANSEHEN</v>
      </c>
    </row>
    <row r="3412" spans="1:12" x14ac:dyDescent="0.2">
      <c r="A3412" t="s">
        <v>1846</v>
      </c>
      <c r="B3412" t="s">
        <v>1847</v>
      </c>
      <c r="C3412" t="s">
        <v>1812</v>
      </c>
      <c r="E3412" t="s">
        <v>1848</v>
      </c>
      <c r="F3412">
        <v>3375</v>
      </c>
      <c r="G3412" t="s">
        <v>667</v>
      </c>
      <c r="H3412" t="s">
        <v>16</v>
      </c>
      <c r="I3412" t="s">
        <v>824</v>
      </c>
      <c r="J3412" t="s">
        <v>825</v>
      </c>
      <c r="K3412" t="s">
        <v>1809</v>
      </c>
      <c r="L3412" t="str">
        <f>HYPERLINK("https://business-monitor.ch/de/companies/1072368-restaurant-frohsinn-keller-claudia?utm_source=oberaargau","PROFIL ANSEHEN")</f>
        <v>PROFIL ANSEHEN</v>
      </c>
    </row>
    <row r="3413" spans="1:12" x14ac:dyDescent="0.2">
      <c r="A3413" t="s">
        <v>13126</v>
      </c>
      <c r="B3413" t="s">
        <v>13127</v>
      </c>
      <c r="C3413" t="s">
        <v>1812</v>
      </c>
      <c r="E3413" t="s">
        <v>2966</v>
      </c>
      <c r="F3413">
        <v>4537</v>
      </c>
      <c r="G3413" t="s">
        <v>113</v>
      </c>
      <c r="H3413" t="s">
        <v>16</v>
      </c>
      <c r="I3413" t="s">
        <v>175</v>
      </c>
      <c r="J3413" t="s">
        <v>176</v>
      </c>
      <c r="K3413" t="s">
        <v>1809</v>
      </c>
      <c r="L3413" t="str">
        <f>HYPERLINK("https://business-monitor.ch/de/companies/1241742-carrosserie-schneider-mercedes?utm_source=oberaargau","PROFIL ANSEHEN")</f>
        <v>PROFIL ANSEHEN</v>
      </c>
    </row>
    <row r="3414" spans="1:12" x14ac:dyDescent="0.2">
      <c r="A3414" t="s">
        <v>13818</v>
      </c>
      <c r="B3414" t="s">
        <v>13819</v>
      </c>
      <c r="C3414" t="s">
        <v>13</v>
      </c>
      <c r="E3414" t="s">
        <v>10294</v>
      </c>
      <c r="F3414">
        <v>4922</v>
      </c>
      <c r="G3414" t="s">
        <v>1318</v>
      </c>
      <c r="H3414" t="s">
        <v>16</v>
      </c>
      <c r="I3414" t="s">
        <v>935</v>
      </c>
      <c r="J3414" t="s">
        <v>936</v>
      </c>
      <c r="K3414" t="s">
        <v>1809</v>
      </c>
      <c r="L3414" t="str">
        <f>HYPERLINK("https://business-monitor.ch/de/companies/1264593-boss-investment-ag?utm_source=oberaargau","PROFIL ANSEHEN")</f>
        <v>PROFIL ANSEHEN</v>
      </c>
    </row>
    <row r="3415" spans="1:12" x14ac:dyDescent="0.2">
      <c r="A3415" t="s">
        <v>14003</v>
      </c>
      <c r="B3415" t="s">
        <v>14004</v>
      </c>
      <c r="C3415" t="s">
        <v>1812</v>
      </c>
      <c r="E3415" t="s">
        <v>13738</v>
      </c>
      <c r="F3415">
        <v>4900</v>
      </c>
      <c r="G3415" t="s">
        <v>41</v>
      </c>
      <c r="H3415" t="s">
        <v>16</v>
      </c>
      <c r="I3415" t="s">
        <v>232</v>
      </c>
      <c r="J3415" t="s">
        <v>233</v>
      </c>
      <c r="K3415" t="s">
        <v>1809</v>
      </c>
      <c r="L3415" t="str">
        <f>HYPERLINK("https://business-monitor.ch/de/companies/1276031-berlin-treuhand-consulting?utm_source=oberaargau","PROFIL ANSEHEN")</f>
        <v>PROFIL ANSEHEN</v>
      </c>
    </row>
    <row r="3416" spans="1:12" x14ac:dyDescent="0.2">
      <c r="A3416" t="s">
        <v>12846</v>
      </c>
      <c r="B3416" t="s">
        <v>12847</v>
      </c>
      <c r="C3416" t="s">
        <v>202</v>
      </c>
      <c r="D3416" t="s">
        <v>12848</v>
      </c>
      <c r="E3416" t="s">
        <v>12849</v>
      </c>
      <c r="F3416">
        <v>3365</v>
      </c>
      <c r="G3416" t="s">
        <v>1008</v>
      </c>
      <c r="H3416" t="s">
        <v>16</v>
      </c>
      <c r="I3416" t="s">
        <v>77</v>
      </c>
      <c r="J3416" t="s">
        <v>78</v>
      </c>
      <c r="K3416" t="s">
        <v>1809</v>
      </c>
      <c r="L3416" t="str">
        <f>HYPERLINK("https://business-monitor.ch/de/companies/1216086-work-living-consulting-gmbh?utm_source=oberaargau","PROFIL ANSEHEN")</f>
        <v>PROFIL ANSEHEN</v>
      </c>
    </row>
    <row r="3417" spans="1:12" x14ac:dyDescent="0.2">
      <c r="A3417" t="s">
        <v>2352</v>
      </c>
      <c r="B3417" t="s">
        <v>2353</v>
      </c>
      <c r="C3417" t="s">
        <v>84</v>
      </c>
      <c r="D3417" t="s">
        <v>2354</v>
      </c>
      <c r="E3417" t="s">
        <v>2355</v>
      </c>
      <c r="F3417">
        <v>4938</v>
      </c>
      <c r="G3417" t="s">
        <v>1909</v>
      </c>
      <c r="H3417" t="s">
        <v>16</v>
      </c>
      <c r="I3417" t="s">
        <v>640</v>
      </c>
      <c r="J3417" t="s">
        <v>641</v>
      </c>
      <c r="K3417" t="s">
        <v>1809</v>
      </c>
      <c r="L3417" t="str">
        <f>HYPERLINK("https://business-monitor.ch/de/companies/171654-milchgenossenschaft-glasbach?utm_source=oberaargau","PROFIL ANSEHEN")</f>
        <v>PROFIL ANSEHEN</v>
      </c>
    </row>
    <row r="3418" spans="1:12" x14ac:dyDescent="0.2">
      <c r="A3418" t="s">
        <v>6554</v>
      </c>
      <c r="B3418" t="s">
        <v>6555</v>
      </c>
      <c r="C3418" t="s">
        <v>1812</v>
      </c>
      <c r="E3418" t="s">
        <v>6556</v>
      </c>
      <c r="F3418">
        <v>4539</v>
      </c>
      <c r="G3418" t="s">
        <v>1134</v>
      </c>
      <c r="H3418" t="s">
        <v>16</v>
      </c>
      <c r="I3418" t="s">
        <v>4582</v>
      </c>
      <c r="J3418" t="s">
        <v>4583</v>
      </c>
      <c r="K3418" t="s">
        <v>1809</v>
      </c>
      <c r="L3418" t="str">
        <f>HYPERLINK("https://business-monitor.ch/de/companies/228432-kaenzig-forstunternehmen?utm_source=oberaargau","PROFIL ANSEHEN")</f>
        <v>PROFIL ANSEHEN</v>
      </c>
    </row>
    <row r="3419" spans="1:12" x14ac:dyDescent="0.2">
      <c r="A3419" t="s">
        <v>13141</v>
      </c>
      <c r="B3419" t="s">
        <v>13142</v>
      </c>
      <c r="C3419" t="s">
        <v>13</v>
      </c>
      <c r="D3419" t="s">
        <v>13143</v>
      </c>
      <c r="E3419" t="s">
        <v>3216</v>
      </c>
      <c r="F3419">
        <v>3366</v>
      </c>
      <c r="G3419" t="s">
        <v>728</v>
      </c>
      <c r="H3419" t="s">
        <v>16</v>
      </c>
      <c r="I3419" t="s">
        <v>186</v>
      </c>
      <c r="J3419" t="s">
        <v>187</v>
      </c>
      <c r="K3419" t="s">
        <v>1809</v>
      </c>
      <c r="L3419" t="str">
        <f>HYPERLINK("https://business-monitor.ch/de/companies/1235185-jonas-ingold-holding-ag?utm_source=oberaargau","PROFIL ANSEHEN")</f>
        <v>PROFIL ANSEHEN</v>
      </c>
    </row>
    <row r="3420" spans="1:12" x14ac:dyDescent="0.2">
      <c r="A3420" t="s">
        <v>12585</v>
      </c>
      <c r="B3420" t="s">
        <v>12586</v>
      </c>
      <c r="C3420" t="s">
        <v>202</v>
      </c>
      <c r="E3420" t="s">
        <v>248</v>
      </c>
      <c r="F3420">
        <v>4900</v>
      </c>
      <c r="G3420" t="s">
        <v>41</v>
      </c>
      <c r="H3420" t="s">
        <v>16</v>
      </c>
      <c r="I3420" t="s">
        <v>781</v>
      </c>
      <c r="J3420" t="s">
        <v>782</v>
      </c>
      <c r="K3420" t="s">
        <v>1809</v>
      </c>
      <c r="L3420" t="str">
        <f>HYPERLINK("https://business-monitor.ch/de/companies/159377-lillys-gastro-gmbh?utm_source=oberaargau","PROFIL ANSEHEN")</f>
        <v>PROFIL ANSEHEN</v>
      </c>
    </row>
    <row r="3421" spans="1:12" x14ac:dyDescent="0.2">
      <c r="A3421" t="s">
        <v>4081</v>
      </c>
      <c r="B3421" t="s">
        <v>13794</v>
      </c>
      <c r="C3421" t="s">
        <v>13</v>
      </c>
      <c r="D3421" t="s">
        <v>13795</v>
      </c>
      <c r="E3421" t="s">
        <v>501</v>
      </c>
      <c r="F3421">
        <v>4900</v>
      </c>
      <c r="G3421" t="s">
        <v>41</v>
      </c>
      <c r="H3421" t="s">
        <v>16</v>
      </c>
      <c r="I3421" t="s">
        <v>182</v>
      </c>
      <c r="J3421" t="s">
        <v>183</v>
      </c>
      <c r="K3421" t="s">
        <v>1809</v>
      </c>
      <c r="L3421" t="str">
        <f>HYPERLINK("https://business-monitor.ch/de/companies/1046388-anliker-aebi-holding-ag?utm_source=oberaargau","PROFIL ANSEHEN")</f>
        <v>PROFIL ANSEHEN</v>
      </c>
    </row>
    <row r="3422" spans="1:12" x14ac:dyDescent="0.2">
      <c r="A3422" t="s">
        <v>9705</v>
      </c>
      <c r="B3422" t="s">
        <v>9706</v>
      </c>
      <c r="C3422" t="s">
        <v>202</v>
      </c>
      <c r="E3422" t="s">
        <v>9707</v>
      </c>
      <c r="F3422">
        <v>4954</v>
      </c>
      <c r="G3422" t="s">
        <v>359</v>
      </c>
      <c r="H3422" t="s">
        <v>16</v>
      </c>
      <c r="I3422" t="s">
        <v>679</v>
      </c>
      <c r="J3422" t="s">
        <v>680</v>
      </c>
      <c r="K3422" t="s">
        <v>1809</v>
      </c>
      <c r="L3422" t="str">
        <f>HYPERLINK("https://business-monitor.ch/de/companies/1047640-may-eggimann-schreinerei-gmbh?utm_source=oberaargau","PROFIL ANSEHEN")</f>
        <v>PROFIL ANSEHEN</v>
      </c>
    </row>
    <row r="3423" spans="1:12" x14ac:dyDescent="0.2">
      <c r="A3423" t="s">
        <v>8474</v>
      </c>
      <c r="B3423" t="s">
        <v>8475</v>
      </c>
      <c r="C3423" t="s">
        <v>202</v>
      </c>
      <c r="E3423" t="s">
        <v>7849</v>
      </c>
      <c r="F3423">
        <v>3360</v>
      </c>
      <c r="G3423" t="s">
        <v>35</v>
      </c>
      <c r="H3423" t="s">
        <v>16</v>
      </c>
      <c r="I3423" t="s">
        <v>486</v>
      </c>
      <c r="J3423" t="s">
        <v>487</v>
      </c>
      <c r="K3423" t="s">
        <v>1809</v>
      </c>
      <c r="L3423" t="str">
        <f>HYPERLINK("https://business-monitor.ch/de/companies/314130-inox-manufaktur-gmbh?utm_source=oberaargau","PROFIL ANSEHEN")</f>
        <v>PROFIL ANSEHEN</v>
      </c>
    </row>
    <row r="3424" spans="1:12" x14ac:dyDescent="0.2">
      <c r="A3424" t="s">
        <v>13028</v>
      </c>
      <c r="B3424" t="s">
        <v>13029</v>
      </c>
      <c r="C3424" t="s">
        <v>2258</v>
      </c>
      <c r="D3424" t="s">
        <v>13030</v>
      </c>
      <c r="E3424" t="s">
        <v>13031</v>
      </c>
      <c r="F3424">
        <v>4935</v>
      </c>
      <c r="G3424" t="s">
        <v>443</v>
      </c>
      <c r="H3424" t="s">
        <v>16</v>
      </c>
      <c r="I3424" t="s">
        <v>3272</v>
      </c>
      <c r="J3424" t="s">
        <v>3273</v>
      </c>
      <c r="K3424" t="s">
        <v>1809</v>
      </c>
      <c r="L3424" t="str">
        <f>HYPERLINK("https://business-monitor.ch/de/companies/1237481-globe-mission-schweiz?utm_source=oberaargau","PROFIL ANSEHEN")</f>
        <v>PROFIL ANSEHEN</v>
      </c>
    </row>
    <row r="3425" spans="1:12" x14ac:dyDescent="0.2">
      <c r="A3425" t="s">
        <v>12901</v>
      </c>
      <c r="B3425" t="s">
        <v>12902</v>
      </c>
      <c r="C3425" t="s">
        <v>13</v>
      </c>
      <c r="D3425" t="s">
        <v>12903</v>
      </c>
      <c r="E3425" t="s">
        <v>1365</v>
      </c>
      <c r="F3425">
        <v>4923</v>
      </c>
      <c r="G3425" t="s">
        <v>732</v>
      </c>
      <c r="H3425" t="s">
        <v>16</v>
      </c>
      <c r="I3425" t="s">
        <v>182</v>
      </c>
      <c r="J3425" t="s">
        <v>183</v>
      </c>
      <c r="K3425" t="s">
        <v>1809</v>
      </c>
      <c r="L3425" t="str">
        <f>HYPERLINK("https://business-monitor.ch/de/companies/1226361-bsb-holding-ag?utm_source=oberaargau","PROFIL ANSEHEN")</f>
        <v>PROFIL ANSEHEN</v>
      </c>
    </row>
    <row r="3426" spans="1:12" x14ac:dyDescent="0.2">
      <c r="A3426" t="s">
        <v>7191</v>
      </c>
      <c r="B3426" t="s">
        <v>7192</v>
      </c>
      <c r="C3426" t="s">
        <v>1812</v>
      </c>
      <c r="E3426" t="s">
        <v>7193</v>
      </c>
      <c r="F3426">
        <v>3363</v>
      </c>
      <c r="G3426" t="s">
        <v>1367</v>
      </c>
      <c r="H3426" t="s">
        <v>16</v>
      </c>
      <c r="I3426" t="s">
        <v>2213</v>
      </c>
      <c r="J3426" t="s">
        <v>2214</v>
      </c>
      <c r="K3426" t="s">
        <v>1809</v>
      </c>
      <c r="L3426" t="str">
        <f>HYPERLINK("https://business-monitor.ch/de/companies/1049967-balance-in-you-burki?utm_source=oberaargau","PROFIL ANSEHEN")</f>
        <v>PROFIL ANSEHEN</v>
      </c>
    </row>
    <row r="3427" spans="1:12" x14ac:dyDescent="0.2">
      <c r="A3427" t="s">
        <v>3193</v>
      </c>
      <c r="B3427" t="s">
        <v>3194</v>
      </c>
      <c r="C3427" t="s">
        <v>1812</v>
      </c>
      <c r="E3427" t="s">
        <v>3195</v>
      </c>
      <c r="F3427">
        <v>4538</v>
      </c>
      <c r="G3427" t="s">
        <v>71</v>
      </c>
      <c r="H3427" t="s">
        <v>16</v>
      </c>
      <c r="I3427" t="s">
        <v>24</v>
      </c>
      <c r="J3427" t="s">
        <v>25</v>
      </c>
      <c r="K3427" t="s">
        <v>1809</v>
      </c>
      <c r="L3427" t="str">
        <f>HYPERLINK("https://business-monitor.ch/de/companies/289269-projekt-und-qualitaetsmanagement-brunner?utm_source=oberaargau","PROFIL ANSEHEN")</f>
        <v>PROFIL ANSEHEN</v>
      </c>
    </row>
    <row r="3428" spans="1:12" x14ac:dyDescent="0.2">
      <c r="A3428" t="s">
        <v>5361</v>
      </c>
      <c r="B3428" t="s">
        <v>5362</v>
      </c>
      <c r="C3428" t="s">
        <v>1812</v>
      </c>
      <c r="E3428" t="s">
        <v>5363</v>
      </c>
      <c r="F3428">
        <v>3377</v>
      </c>
      <c r="G3428" t="s">
        <v>1220</v>
      </c>
      <c r="H3428" t="s">
        <v>16</v>
      </c>
      <c r="I3428" t="s">
        <v>1267</v>
      </c>
      <c r="J3428" t="s">
        <v>1268</v>
      </c>
      <c r="K3428" t="s">
        <v>1809</v>
      </c>
      <c r="L3428" t="str">
        <f>HYPERLINK("https://business-monitor.ch/de/companies/99266-aboba-roger-knuesel?utm_source=oberaargau","PROFIL ANSEHEN")</f>
        <v>PROFIL ANSEHEN</v>
      </c>
    </row>
    <row r="3429" spans="1:12" x14ac:dyDescent="0.2">
      <c r="A3429" t="s">
        <v>2030</v>
      </c>
      <c r="B3429" t="s">
        <v>2031</v>
      </c>
      <c r="C3429" t="s">
        <v>1812</v>
      </c>
      <c r="E3429" t="s">
        <v>2032</v>
      </c>
      <c r="F3429">
        <v>4932</v>
      </c>
      <c r="G3429" t="s">
        <v>325</v>
      </c>
      <c r="H3429" t="s">
        <v>16</v>
      </c>
      <c r="I3429" t="s">
        <v>845</v>
      </c>
      <c r="J3429" t="s">
        <v>846</v>
      </c>
      <c r="K3429" t="s">
        <v>1809</v>
      </c>
      <c r="L3429" t="str">
        <f>HYPERLINK("https://business-monitor.ch/de/companies/171558-greub-keramik?utm_source=oberaargau","PROFIL ANSEHEN")</f>
        <v>PROFIL ANSEHEN</v>
      </c>
    </row>
    <row r="3430" spans="1:12" x14ac:dyDescent="0.2">
      <c r="A3430" t="s">
        <v>9703</v>
      </c>
      <c r="B3430" t="s">
        <v>9704</v>
      </c>
      <c r="C3430" t="s">
        <v>13</v>
      </c>
      <c r="E3430" t="s">
        <v>7724</v>
      </c>
      <c r="F3430">
        <v>3360</v>
      </c>
      <c r="G3430" t="s">
        <v>35</v>
      </c>
      <c r="H3430" t="s">
        <v>16</v>
      </c>
      <c r="I3430" t="s">
        <v>671</v>
      </c>
      <c r="J3430" t="s">
        <v>672</v>
      </c>
      <c r="K3430" t="s">
        <v>1809</v>
      </c>
      <c r="L3430" t="str">
        <f>HYPERLINK("https://business-monitor.ch/de/companies/1047717-dr-med-juerg-mueller-ag?utm_source=oberaargau","PROFIL ANSEHEN")</f>
        <v>PROFIL ANSEHEN</v>
      </c>
    </row>
    <row r="3431" spans="1:12" x14ac:dyDescent="0.2">
      <c r="A3431" t="s">
        <v>8155</v>
      </c>
      <c r="B3431" t="s">
        <v>10440</v>
      </c>
      <c r="C3431" t="s">
        <v>1812</v>
      </c>
      <c r="E3431" t="s">
        <v>10441</v>
      </c>
      <c r="F3431">
        <v>4914</v>
      </c>
      <c r="G3431" t="s">
        <v>717</v>
      </c>
      <c r="H3431" t="s">
        <v>16</v>
      </c>
      <c r="I3431" t="s">
        <v>59</v>
      </c>
      <c r="J3431" t="s">
        <v>60</v>
      </c>
      <c r="K3431" t="s">
        <v>1809</v>
      </c>
      <c r="L3431" t="str">
        <f>HYPERLINK("https://business-monitor.ch/de/companies/172322-samuel-lanz?utm_source=oberaargau","PROFIL ANSEHEN")</f>
        <v>PROFIL ANSEHEN</v>
      </c>
    </row>
    <row r="3432" spans="1:12" x14ac:dyDescent="0.2">
      <c r="A3432" t="s">
        <v>6289</v>
      </c>
      <c r="B3432" t="s">
        <v>6290</v>
      </c>
      <c r="C3432" t="s">
        <v>13</v>
      </c>
      <c r="E3432" t="s">
        <v>2562</v>
      </c>
      <c r="F3432">
        <v>4922</v>
      </c>
      <c r="G3432" t="s">
        <v>99</v>
      </c>
      <c r="H3432" t="s">
        <v>16</v>
      </c>
      <c r="I3432" t="s">
        <v>608</v>
      </c>
      <c r="J3432" t="s">
        <v>609</v>
      </c>
      <c r="K3432" t="s">
        <v>1809</v>
      </c>
      <c r="L3432" t="str">
        <f>HYPERLINK("https://business-monitor.ch/de/companies/339510-fenster-haus-ag?utm_source=oberaargau","PROFIL ANSEHEN")</f>
        <v>PROFIL ANSEHEN</v>
      </c>
    </row>
    <row r="3433" spans="1:12" x14ac:dyDescent="0.2">
      <c r="A3433" t="s">
        <v>3490</v>
      </c>
      <c r="B3433" t="s">
        <v>8184</v>
      </c>
      <c r="C3433" t="s">
        <v>1812</v>
      </c>
      <c r="E3433" t="s">
        <v>8185</v>
      </c>
      <c r="F3433">
        <v>3380</v>
      </c>
      <c r="G3433" t="s">
        <v>29</v>
      </c>
      <c r="H3433" t="s">
        <v>16</v>
      </c>
      <c r="I3433" t="s">
        <v>997</v>
      </c>
      <c r="J3433" t="s">
        <v>998</v>
      </c>
      <c r="K3433" t="s">
        <v>1809</v>
      </c>
      <c r="L3433" t="str">
        <f>HYPERLINK("https://business-monitor.ch/de/companies/173739-zuber-beat?utm_source=oberaargau","PROFIL ANSEHEN")</f>
        <v>PROFIL ANSEHEN</v>
      </c>
    </row>
    <row r="3434" spans="1:12" x14ac:dyDescent="0.2">
      <c r="A3434" t="s">
        <v>10872</v>
      </c>
      <c r="B3434" t="s">
        <v>10873</v>
      </c>
      <c r="C3434" t="s">
        <v>1827</v>
      </c>
      <c r="E3434" t="s">
        <v>10874</v>
      </c>
      <c r="F3434">
        <v>4900</v>
      </c>
      <c r="G3434" t="s">
        <v>41</v>
      </c>
      <c r="H3434" t="s">
        <v>16</v>
      </c>
      <c r="I3434" t="s">
        <v>565</v>
      </c>
      <c r="J3434" t="s">
        <v>566</v>
      </c>
      <c r="K3434" t="s">
        <v>1809</v>
      </c>
      <c r="L3434" t="str">
        <f>HYPERLINK("https://business-monitor.ch/de/companies/1040601-sara-s-grill-klg?utm_source=oberaargau","PROFIL ANSEHEN")</f>
        <v>PROFIL ANSEHEN</v>
      </c>
    </row>
    <row r="3435" spans="1:12" x14ac:dyDescent="0.2">
      <c r="A3435" t="s">
        <v>6796</v>
      </c>
      <c r="B3435" t="s">
        <v>6797</v>
      </c>
      <c r="C3435" t="s">
        <v>13</v>
      </c>
      <c r="E3435" t="s">
        <v>6798</v>
      </c>
      <c r="F3435">
        <v>4704</v>
      </c>
      <c r="G3435" t="s">
        <v>221</v>
      </c>
      <c r="H3435" t="s">
        <v>16</v>
      </c>
      <c r="I3435" t="s">
        <v>824</v>
      </c>
      <c r="J3435" t="s">
        <v>825</v>
      </c>
      <c r="K3435" t="s">
        <v>1809</v>
      </c>
      <c r="L3435" t="str">
        <f>HYPERLINK("https://business-monitor.ch/de/companies/96751-drei-brunnen-ag?utm_source=oberaargau","PROFIL ANSEHEN")</f>
        <v>PROFIL ANSEHEN</v>
      </c>
    </row>
    <row r="3436" spans="1:12" x14ac:dyDescent="0.2">
      <c r="A3436" t="s">
        <v>6643</v>
      </c>
      <c r="B3436" t="s">
        <v>8075</v>
      </c>
      <c r="C3436" t="s">
        <v>1812</v>
      </c>
      <c r="E3436" t="s">
        <v>8076</v>
      </c>
      <c r="F3436">
        <v>4900</v>
      </c>
      <c r="G3436" t="s">
        <v>41</v>
      </c>
      <c r="H3436" t="s">
        <v>16</v>
      </c>
      <c r="I3436" t="s">
        <v>2496</v>
      </c>
      <c r="J3436" t="s">
        <v>2497</v>
      </c>
      <c r="K3436" t="s">
        <v>1809</v>
      </c>
      <c r="L3436" t="str">
        <f>HYPERLINK("https://business-monitor.ch/de/companies/170856-naehzenter-germann?utm_source=oberaargau","PROFIL ANSEHEN")</f>
        <v>PROFIL ANSEHEN</v>
      </c>
    </row>
    <row r="3437" spans="1:12" x14ac:dyDescent="0.2">
      <c r="A3437" t="s">
        <v>8159</v>
      </c>
      <c r="B3437" t="s">
        <v>8160</v>
      </c>
      <c r="C3437" t="s">
        <v>1812</v>
      </c>
      <c r="E3437" t="s">
        <v>8161</v>
      </c>
      <c r="F3437">
        <v>4536</v>
      </c>
      <c r="G3437" t="s">
        <v>1395</v>
      </c>
      <c r="H3437" t="s">
        <v>16</v>
      </c>
      <c r="I3437" t="s">
        <v>1193</v>
      </c>
      <c r="J3437" t="s">
        <v>1194</v>
      </c>
      <c r="K3437" t="s">
        <v>1809</v>
      </c>
      <c r="L3437" t="str">
        <f>HYPERLINK("https://business-monitor.ch/de/companies/177421-lei-soft-peter-leisi?utm_source=oberaargau","PROFIL ANSEHEN")</f>
        <v>PROFIL ANSEHEN</v>
      </c>
    </row>
    <row r="3438" spans="1:12" x14ac:dyDescent="0.2">
      <c r="A3438" t="s">
        <v>5173</v>
      </c>
      <c r="B3438" t="s">
        <v>5174</v>
      </c>
      <c r="C3438" t="s">
        <v>1812</v>
      </c>
      <c r="E3438" t="s">
        <v>5175</v>
      </c>
      <c r="F3438">
        <v>4944</v>
      </c>
      <c r="G3438" t="s">
        <v>1176</v>
      </c>
      <c r="H3438" t="s">
        <v>16</v>
      </c>
      <c r="I3438" t="s">
        <v>2897</v>
      </c>
      <c r="J3438" t="s">
        <v>2898</v>
      </c>
      <c r="K3438" t="s">
        <v>1809</v>
      </c>
      <c r="L3438" t="str">
        <f>HYPERLINK("https://business-monitor.ch/de/companies/522674-glauser-lohnunternehmen?utm_source=oberaargau","PROFIL ANSEHEN")</f>
        <v>PROFIL ANSEHEN</v>
      </c>
    </row>
    <row r="3439" spans="1:12" x14ac:dyDescent="0.2">
      <c r="A3439" t="s">
        <v>3429</v>
      </c>
      <c r="B3439" t="s">
        <v>3430</v>
      </c>
      <c r="C3439" t="s">
        <v>1812</v>
      </c>
      <c r="E3439" t="s">
        <v>3431</v>
      </c>
      <c r="F3439">
        <v>3373</v>
      </c>
      <c r="G3439" t="s">
        <v>1640</v>
      </c>
      <c r="H3439" t="s">
        <v>16</v>
      </c>
      <c r="I3439" t="s">
        <v>175</v>
      </c>
      <c r="J3439" t="s">
        <v>176</v>
      </c>
      <c r="K3439" t="s">
        <v>1809</v>
      </c>
      <c r="L3439" t="str">
        <f>HYPERLINK("https://business-monitor.ch/de/companies/178524-carrosserie-beat-spaeti?utm_source=oberaargau","PROFIL ANSEHEN")</f>
        <v>PROFIL ANSEHEN</v>
      </c>
    </row>
    <row r="3440" spans="1:12" x14ac:dyDescent="0.2">
      <c r="A3440" t="s">
        <v>6386</v>
      </c>
      <c r="B3440" t="s">
        <v>6387</v>
      </c>
      <c r="C3440" t="s">
        <v>1812</v>
      </c>
      <c r="E3440" t="s">
        <v>6388</v>
      </c>
      <c r="F3440">
        <v>4537</v>
      </c>
      <c r="G3440" t="s">
        <v>113</v>
      </c>
      <c r="H3440" t="s">
        <v>16</v>
      </c>
      <c r="I3440" t="s">
        <v>1193</v>
      </c>
      <c r="J3440" t="s">
        <v>1194</v>
      </c>
      <c r="K3440" t="s">
        <v>1809</v>
      </c>
      <c r="L3440" t="str">
        <f>HYPERLINK("https://business-monitor.ch/de/companies/299092-comsupport-p-romano?utm_source=oberaargau","PROFIL ANSEHEN")</f>
        <v>PROFIL ANSEHEN</v>
      </c>
    </row>
    <row r="3441" spans="1:12" x14ac:dyDescent="0.2">
      <c r="A3441" t="s">
        <v>5044</v>
      </c>
      <c r="B3441" t="s">
        <v>5045</v>
      </c>
      <c r="C3441" t="s">
        <v>13</v>
      </c>
      <c r="E3441" t="s">
        <v>5046</v>
      </c>
      <c r="F3441">
        <v>4913</v>
      </c>
      <c r="G3441" t="s">
        <v>207</v>
      </c>
      <c r="H3441" t="s">
        <v>16</v>
      </c>
      <c r="I3441" t="s">
        <v>157</v>
      </c>
      <c r="J3441" t="s">
        <v>158</v>
      </c>
      <c r="K3441" t="s">
        <v>1809</v>
      </c>
      <c r="L3441" t="str">
        <f>HYPERLINK("https://business-monitor.ch/de/companies/1090354-staub-haus-ag?utm_source=oberaargau","PROFIL ANSEHEN")</f>
        <v>PROFIL ANSEHEN</v>
      </c>
    </row>
    <row r="3442" spans="1:12" x14ac:dyDescent="0.2">
      <c r="A3442" t="s">
        <v>11711</v>
      </c>
      <c r="B3442" t="s">
        <v>11712</v>
      </c>
      <c r="C3442" t="s">
        <v>202</v>
      </c>
      <c r="E3442" t="s">
        <v>9493</v>
      </c>
      <c r="F3442">
        <v>4912</v>
      </c>
      <c r="G3442" t="s">
        <v>64</v>
      </c>
      <c r="H3442" t="s">
        <v>16</v>
      </c>
      <c r="I3442" t="s">
        <v>1871</v>
      </c>
      <c r="J3442" t="s">
        <v>1872</v>
      </c>
      <c r="K3442" t="s">
        <v>1809</v>
      </c>
      <c r="L3442" t="str">
        <f>HYPERLINK("https://business-monitor.ch/de/companies/1090378-rs-telecom-gmbh?utm_source=oberaargau","PROFIL ANSEHEN")</f>
        <v>PROFIL ANSEHEN</v>
      </c>
    </row>
    <row r="3443" spans="1:12" x14ac:dyDescent="0.2">
      <c r="A3443" t="s">
        <v>962</v>
      </c>
      <c r="B3443" t="s">
        <v>8356</v>
      </c>
      <c r="C3443" t="s">
        <v>1812</v>
      </c>
      <c r="E3443" t="s">
        <v>8357</v>
      </c>
      <c r="F3443">
        <v>4900</v>
      </c>
      <c r="G3443" t="s">
        <v>41</v>
      </c>
      <c r="H3443" t="s">
        <v>16</v>
      </c>
      <c r="I3443" t="s">
        <v>3369</v>
      </c>
      <c r="J3443" t="s">
        <v>3370</v>
      </c>
      <c r="K3443" t="s">
        <v>1809</v>
      </c>
      <c r="L3443" t="str">
        <f>HYPERLINK("https://business-monitor.ch/de/companies/184628-martin-burkart?utm_source=oberaargau","PROFIL ANSEHEN")</f>
        <v>PROFIL ANSEHEN</v>
      </c>
    </row>
    <row r="3444" spans="1:12" x14ac:dyDescent="0.2">
      <c r="A3444" t="s">
        <v>4910</v>
      </c>
      <c r="B3444" t="s">
        <v>4911</v>
      </c>
      <c r="C3444" t="s">
        <v>1922</v>
      </c>
      <c r="D3444" t="s">
        <v>4912</v>
      </c>
      <c r="E3444" t="s">
        <v>14569</v>
      </c>
      <c r="F3444">
        <v>4955</v>
      </c>
      <c r="G3444" t="s">
        <v>684</v>
      </c>
      <c r="H3444" t="s">
        <v>16</v>
      </c>
      <c r="I3444" t="s">
        <v>2849</v>
      </c>
      <c r="J3444" t="s">
        <v>2850</v>
      </c>
      <c r="K3444" t="s">
        <v>1809</v>
      </c>
      <c r="L3444" t="str">
        <f>HYPERLINK("https://business-monitor.ch/de/companies/308262-fountain-stiftung?utm_source=oberaargau","PROFIL ANSEHEN")</f>
        <v>PROFIL ANSEHEN</v>
      </c>
    </row>
    <row r="3445" spans="1:12" x14ac:dyDescent="0.2">
      <c r="A3445" t="s">
        <v>2871</v>
      </c>
      <c r="B3445" t="s">
        <v>2872</v>
      </c>
      <c r="C3445" t="s">
        <v>202</v>
      </c>
      <c r="E3445" t="s">
        <v>2873</v>
      </c>
      <c r="F3445">
        <v>4538</v>
      </c>
      <c r="G3445" t="s">
        <v>71</v>
      </c>
      <c r="H3445" t="s">
        <v>16</v>
      </c>
      <c r="I3445" t="s">
        <v>906</v>
      </c>
      <c r="J3445" t="s">
        <v>907</v>
      </c>
      <c r="K3445" t="s">
        <v>1809</v>
      </c>
      <c r="L3445" t="str">
        <f>HYPERLINK("https://business-monitor.ch/de/companies/1066651-bb-tinyhouse-gmbh?utm_source=oberaargau","PROFIL ANSEHEN")</f>
        <v>PROFIL ANSEHEN</v>
      </c>
    </row>
    <row r="3446" spans="1:12" x14ac:dyDescent="0.2">
      <c r="A3446" t="s">
        <v>10636</v>
      </c>
      <c r="B3446" t="s">
        <v>10637</v>
      </c>
      <c r="C3446" t="s">
        <v>202</v>
      </c>
      <c r="E3446" t="s">
        <v>10638</v>
      </c>
      <c r="F3446">
        <v>4900</v>
      </c>
      <c r="G3446" t="s">
        <v>41</v>
      </c>
      <c r="H3446" t="s">
        <v>16</v>
      </c>
      <c r="I3446" t="s">
        <v>1852</v>
      </c>
      <c r="J3446" t="s">
        <v>1853</v>
      </c>
      <c r="K3446" t="s">
        <v>1809</v>
      </c>
      <c r="L3446" t="str">
        <f>HYPERLINK("https://business-monitor.ch/de/companies/110987-werner-werner-bauhandwerk-gmbh?utm_source=oberaargau","PROFIL ANSEHEN")</f>
        <v>PROFIL ANSEHEN</v>
      </c>
    </row>
    <row r="3447" spans="1:12" x14ac:dyDescent="0.2">
      <c r="A3447" t="s">
        <v>3940</v>
      </c>
      <c r="B3447" t="s">
        <v>9716</v>
      </c>
      <c r="C3447" t="s">
        <v>1812</v>
      </c>
      <c r="E3447" t="s">
        <v>9717</v>
      </c>
      <c r="F3447">
        <v>4536</v>
      </c>
      <c r="G3447" t="s">
        <v>1395</v>
      </c>
      <c r="H3447" t="s">
        <v>16</v>
      </c>
      <c r="I3447" t="s">
        <v>2647</v>
      </c>
      <c r="J3447" t="s">
        <v>2648</v>
      </c>
      <c r="K3447" t="s">
        <v>1809</v>
      </c>
      <c r="L3447" t="str">
        <f>HYPERLINK("https://business-monitor.ch/de/companies/1045423-fatto-a-mano-by-mel-inh-nussbaum?utm_source=oberaargau","PROFIL ANSEHEN")</f>
        <v>PROFIL ANSEHEN</v>
      </c>
    </row>
    <row r="3448" spans="1:12" x14ac:dyDescent="0.2">
      <c r="A3448" t="s">
        <v>14570</v>
      </c>
      <c r="B3448" t="s">
        <v>14571</v>
      </c>
      <c r="C3448" t="s">
        <v>13</v>
      </c>
      <c r="E3448" t="s">
        <v>4108</v>
      </c>
      <c r="F3448">
        <v>4537</v>
      </c>
      <c r="G3448" t="s">
        <v>113</v>
      </c>
      <c r="H3448" t="s">
        <v>16</v>
      </c>
      <c r="I3448" t="s">
        <v>72</v>
      </c>
      <c r="J3448" t="s">
        <v>73</v>
      </c>
      <c r="K3448" t="s">
        <v>1809</v>
      </c>
      <c r="L3448" t="str">
        <f>HYPERLINK("https://business-monitor.ch/de/companies/1298729-ika-global-ag?utm_source=oberaargau","PROFIL ANSEHEN")</f>
        <v>PROFIL ANSEHEN</v>
      </c>
    </row>
    <row r="3449" spans="1:12" x14ac:dyDescent="0.2">
      <c r="A3449" t="s">
        <v>5113</v>
      </c>
      <c r="B3449" t="s">
        <v>5114</v>
      </c>
      <c r="C3449" t="s">
        <v>202</v>
      </c>
      <c r="E3449" t="s">
        <v>880</v>
      </c>
      <c r="F3449">
        <v>3368</v>
      </c>
      <c r="G3449" t="s">
        <v>308</v>
      </c>
      <c r="H3449" t="s">
        <v>16</v>
      </c>
      <c r="I3449" t="s">
        <v>12543</v>
      </c>
      <c r="J3449" t="s">
        <v>12544</v>
      </c>
      <c r="K3449" t="s">
        <v>1809</v>
      </c>
      <c r="L3449" t="str">
        <f>HYPERLINK("https://business-monitor.ch/de/companies/1068914-electra-aero-schweiz-gmbh?utm_source=oberaargau","PROFIL ANSEHEN")</f>
        <v>PROFIL ANSEHEN</v>
      </c>
    </row>
    <row r="3450" spans="1:12" x14ac:dyDescent="0.2">
      <c r="A3450" t="s">
        <v>5857</v>
      </c>
      <c r="B3450" t="s">
        <v>5858</v>
      </c>
      <c r="C3450" t="s">
        <v>202</v>
      </c>
      <c r="E3450" t="s">
        <v>2634</v>
      </c>
      <c r="F3450">
        <v>4932</v>
      </c>
      <c r="G3450" t="s">
        <v>325</v>
      </c>
      <c r="H3450" t="s">
        <v>16</v>
      </c>
      <c r="I3450" t="s">
        <v>182</v>
      </c>
      <c r="J3450" t="s">
        <v>183</v>
      </c>
      <c r="K3450" t="s">
        <v>1809</v>
      </c>
      <c r="L3450" t="str">
        <f>HYPERLINK("https://business-monitor.ch/de/companies/510949-nafre-holding-gmbh?utm_source=oberaargau","PROFIL ANSEHEN")</f>
        <v>PROFIL ANSEHEN</v>
      </c>
    </row>
    <row r="3451" spans="1:12" x14ac:dyDescent="0.2">
      <c r="A3451" t="s">
        <v>8286</v>
      </c>
      <c r="B3451" t="s">
        <v>8287</v>
      </c>
      <c r="C3451" t="s">
        <v>13</v>
      </c>
      <c r="E3451" t="s">
        <v>1067</v>
      </c>
      <c r="F3451">
        <v>4938</v>
      </c>
      <c r="G3451" t="s">
        <v>618</v>
      </c>
      <c r="H3451" t="s">
        <v>16</v>
      </c>
      <c r="I3451" t="s">
        <v>671</v>
      </c>
      <c r="J3451" t="s">
        <v>672</v>
      </c>
      <c r="K3451" t="s">
        <v>1809</v>
      </c>
      <c r="L3451" t="str">
        <f>HYPERLINK("https://business-monitor.ch/de/companies/1063021-hausarztpraxis-rohrbach-ag?utm_source=oberaargau","PROFIL ANSEHEN")</f>
        <v>PROFIL ANSEHEN</v>
      </c>
    </row>
    <row r="3452" spans="1:12" x14ac:dyDescent="0.2">
      <c r="A3452" t="s">
        <v>6326</v>
      </c>
      <c r="B3452" t="s">
        <v>6327</v>
      </c>
      <c r="C3452" t="s">
        <v>202</v>
      </c>
      <c r="E3452" t="s">
        <v>6328</v>
      </c>
      <c r="F3452">
        <v>4704</v>
      </c>
      <c r="G3452" t="s">
        <v>221</v>
      </c>
      <c r="H3452" t="s">
        <v>16</v>
      </c>
      <c r="I3452" t="s">
        <v>1557</v>
      </c>
      <c r="J3452" t="s">
        <v>1558</v>
      </c>
      <c r="K3452" t="s">
        <v>1809</v>
      </c>
      <c r="L3452" t="str">
        <f>HYPERLINK("https://business-monitor.ch/de/companies/327363-mmc-marketing-media-concept-gmbh?utm_source=oberaargau","PROFIL ANSEHEN")</f>
        <v>PROFIL ANSEHEN</v>
      </c>
    </row>
    <row r="3453" spans="1:12" x14ac:dyDescent="0.2">
      <c r="A3453" t="s">
        <v>6351</v>
      </c>
      <c r="B3453" t="s">
        <v>6352</v>
      </c>
      <c r="C3453" t="s">
        <v>1812</v>
      </c>
      <c r="E3453" t="s">
        <v>6353</v>
      </c>
      <c r="F3453">
        <v>4536</v>
      </c>
      <c r="G3453" t="s">
        <v>1395</v>
      </c>
      <c r="H3453" t="s">
        <v>16</v>
      </c>
      <c r="I3453" t="s">
        <v>2067</v>
      </c>
      <c r="J3453" t="s">
        <v>2068</v>
      </c>
      <c r="K3453" t="s">
        <v>1809</v>
      </c>
      <c r="L3453" t="str">
        <f>HYPERLINK("https://business-monitor.ch/de/companies/314228-hohl-beat?utm_source=oberaargau","PROFIL ANSEHEN")</f>
        <v>PROFIL ANSEHEN</v>
      </c>
    </row>
    <row r="3454" spans="1:12" x14ac:dyDescent="0.2">
      <c r="A3454" t="s">
        <v>9050</v>
      </c>
      <c r="B3454" t="s">
        <v>9051</v>
      </c>
      <c r="C3454" t="s">
        <v>13</v>
      </c>
      <c r="E3454" t="s">
        <v>10158</v>
      </c>
      <c r="F3454">
        <v>4536</v>
      </c>
      <c r="G3454" t="s">
        <v>1395</v>
      </c>
      <c r="H3454" t="s">
        <v>16</v>
      </c>
      <c r="I3454" t="s">
        <v>77</v>
      </c>
      <c r="J3454" t="s">
        <v>78</v>
      </c>
      <c r="K3454" t="s">
        <v>1809</v>
      </c>
      <c r="L3454" t="str">
        <f>HYPERLINK("https://business-monitor.ch/de/companies/199322-max-meyer-ag?utm_source=oberaargau","PROFIL ANSEHEN")</f>
        <v>PROFIL ANSEHEN</v>
      </c>
    </row>
    <row r="3455" spans="1:12" x14ac:dyDescent="0.2">
      <c r="A3455" t="s">
        <v>6303</v>
      </c>
      <c r="B3455" t="s">
        <v>6304</v>
      </c>
      <c r="C3455" t="s">
        <v>202</v>
      </c>
      <c r="E3455" t="s">
        <v>2463</v>
      </c>
      <c r="F3455">
        <v>3380</v>
      </c>
      <c r="G3455" t="s">
        <v>29</v>
      </c>
      <c r="H3455" t="s">
        <v>16</v>
      </c>
      <c r="I3455" t="s">
        <v>748</v>
      </c>
      <c r="J3455" t="s">
        <v>749</v>
      </c>
      <c r="K3455" t="s">
        <v>1809</v>
      </c>
      <c r="L3455" t="str">
        <f>HYPERLINK("https://business-monitor.ch/de/companies/334040-schenk-maler-und-gipsergeschaeft-gmbh?utm_source=oberaargau","PROFIL ANSEHEN")</f>
        <v>PROFIL ANSEHEN</v>
      </c>
    </row>
    <row r="3456" spans="1:12" x14ac:dyDescent="0.2">
      <c r="A3456" t="s">
        <v>8830</v>
      </c>
      <c r="B3456" t="s">
        <v>8831</v>
      </c>
      <c r="C3456" t="s">
        <v>202</v>
      </c>
      <c r="E3456" t="s">
        <v>8832</v>
      </c>
      <c r="F3456">
        <v>4913</v>
      </c>
      <c r="G3456" t="s">
        <v>207</v>
      </c>
      <c r="H3456" t="s">
        <v>16</v>
      </c>
      <c r="I3456" t="s">
        <v>624</v>
      </c>
      <c r="J3456" t="s">
        <v>625</v>
      </c>
      <c r="K3456" t="s">
        <v>1809</v>
      </c>
      <c r="L3456" t="str">
        <f>HYPERLINK("https://business-monitor.ch/de/companies/335695-holzhandwerk-partime-gmbh?utm_source=oberaargau","PROFIL ANSEHEN")</f>
        <v>PROFIL ANSEHEN</v>
      </c>
    </row>
    <row r="3457" spans="1:12" x14ac:dyDescent="0.2">
      <c r="A3457" t="s">
        <v>14572</v>
      </c>
      <c r="B3457" t="s">
        <v>14573</v>
      </c>
      <c r="C3457" t="s">
        <v>202</v>
      </c>
      <c r="E3457" t="s">
        <v>5751</v>
      </c>
      <c r="F3457">
        <v>4900</v>
      </c>
      <c r="G3457" t="s">
        <v>41</v>
      </c>
      <c r="H3457" t="s">
        <v>16</v>
      </c>
      <c r="I3457" t="s">
        <v>13716</v>
      </c>
      <c r="J3457" t="s">
        <v>13717</v>
      </c>
      <c r="K3457" t="s">
        <v>1809</v>
      </c>
      <c r="L3457" t="str">
        <f>HYPERLINK("https://business-monitor.ch/de/companies/1302582-loopx13-gmbh?utm_source=oberaargau","PROFIL ANSEHEN")</f>
        <v>PROFIL ANSEHEN</v>
      </c>
    </row>
    <row r="3458" spans="1:12" x14ac:dyDescent="0.2">
      <c r="A3458" t="s">
        <v>2268</v>
      </c>
      <c r="B3458" t="s">
        <v>2269</v>
      </c>
      <c r="C3458" t="s">
        <v>1812</v>
      </c>
      <c r="E3458" t="s">
        <v>2270</v>
      </c>
      <c r="F3458">
        <v>4900</v>
      </c>
      <c r="G3458" t="s">
        <v>41</v>
      </c>
      <c r="H3458" t="s">
        <v>16</v>
      </c>
      <c r="I3458" t="s">
        <v>1267</v>
      </c>
      <c r="J3458" t="s">
        <v>1268</v>
      </c>
      <c r="K3458" t="s">
        <v>1809</v>
      </c>
      <c r="L3458" t="str">
        <f>HYPERLINK("https://business-monitor.ch/de/companies/344633-ritter-import-export-langenthal?utm_source=oberaargau","PROFIL ANSEHEN")</f>
        <v>PROFIL ANSEHEN</v>
      </c>
    </row>
    <row r="3459" spans="1:12" x14ac:dyDescent="0.2">
      <c r="A3459" t="s">
        <v>6259</v>
      </c>
      <c r="B3459" t="s">
        <v>6260</v>
      </c>
      <c r="C3459" t="s">
        <v>1812</v>
      </c>
      <c r="E3459" t="s">
        <v>6261</v>
      </c>
      <c r="F3459">
        <v>3360</v>
      </c>
      <c r="G3459" t="s">
        <v>35</v>
      </c>
      <c r="H3459" t="s">
        <v>16</v>
      </c>
      <c r="I3459" t="s">
        <v>4098</v>
      </c>
      <c r="J3459" t="s">
        <v>4099</v>
      </c>
      <c r="K3459" t="s">
        <v>1809</v>
      </c>
      <c r="L3459" t="str">
        <f>HYPERLINK("https://business-monitor.ch/de/companies/345195-print-press-marcel-hammel?utm_source=oberaargau","PROFIL ANSEHEN")</f>
        <v>PROFIL ANSEHEN</v>
      </c>
    </row>
    <row r="3460" spans="1:12" x14ac:dyDescent="0.2">
      <c r="A3460" t="s">
        <v>6268</v>
      </c>
      <c r="B3460" t="s">
        <v>6269</v>
      </c>
      <c r="C3460" t="s">
        <v>1922</v>
      </c>
      <c r="E3460" t="s">
        <v>5086</v>
      </c>
      <c r="F3460">
        <v>4704</v>
      </c>
      <c r="G3460" t="s">
        <v>221</v>
      </c>
      <c r="H3460" t="s">
        <v>16</v>
      </c>
      <c r="I3460" t="s">
        <v>6270</v>
      </c>
      <c r="J3460" t="s">
        <v>6271</v>
      </c>
      <c r="K3460" t="s">
        <v>1809</v>
      </c>
      <c r="L3460" t="str">
        <f>HYPERLINK("https://business-monitor.ch/de/companies/349190-susanna-cohen-stiftung?utm_source=oberaargau","PROFIL ANSEHEN")</f>
        <v>PROFIL ANSEHEN</v>
      </c>
    </row>
    <row r="3461" spans="1:12" x14ac:dyDescent="0.2">
      <c r="A3461" t="s">
        <v>3389</v>
      </c>
      <c r="B3461" t="s">
        <v>3484</v>
      </c>
      <c r="C3461" t="s">
        <v>13</v>
      </c>
      <c r="F3461">
        <v>4913</v>
      </c>
      <c r="G3461" t="s">
        <v>207</v>
      </c>
      <c r="H3461" t="s">
        <v>16</v>
      </c>
      <c r="I3461" t="s">
        <v>935</v>
      </c>
      <c r="J3461" t="s">
        <v>936</v>
      </c>
      <c r="K3461" t="s">
        <v>1809</v>
      </c>
      <c r="L3461" t="str">
        <f>HYPERLINK("https://business-monitor.ch/de/companies/170853-banag-immobilien-ag?utm_source=oberaargau","PROFIL ANSEHEN")</f>
        <v>PROFIL ANSEHEN</v>
      </c>
    </row>
    <row r="3462" spans="1:12" x14ac:dyDescent="0.2">
      <c r="A3462" t="s">
        <v>2984</v>
      </c>
      <c r="B3462" t="s">
        <v>2985</v>
      </c>
      <c r="C3462" t="s">
        <v>202</v>
      </c>
      <c r="E3462" t="s">
        <v>2986</v>
      </c>
      <c r="F3462">
        <v>4704</v>
      </c>
      <c r="G3462" t="s">
        <v>221</v>
      </c>
      <c r="H3462" t="s">
        <v>16</v>
      </c>
      <c r="I3462" t="s">
        <v>642</v>
      </c>
      <c r="J3462" t="s">
        <v>643</v>
      </c>
      <c r="K3462" t="s">
        <v>1809</v>
      </c>
      <c r="L3462" t="str">
        <f>HYPERLINK("https://business-monitor.ch/de/companies/355649-garage-gabi-gmbh?utm_source=oberaargau","PROFIL ANSEHEN")</f>
        <v>PROFIL ANSEHEN</v>
      </c>
    </row>
    <row r="3463" spans="1:12" x14ac:dyDescent="0.2">
      <c r="A3463" t="s">
        <v>8322</v>
      </c>
      <c r="B3463" t="s">
        <v>8323</v>
      </c>
      <c r="C3463" t="s">
        <v>202</v>
      </c>
      <c r="E3463" t="s">
        <v>8324</v>
      </c>
      <c r="F3463">
        <v>4914</v>
      </c>
      <c r="G3463" t="s">
        <v>105</v>
      </c>
      <c r="H3463" t="s">
        <v>16</v>
      </c>
      <c r="I3463" t="s">
        <v>24</v>
      </c>
      <c r="J3463" t="s">
        <v>25</v>
      </c>
      <c r="K3463" t="s">
        <v>1809</v>
      </c>
      <c r="L3463" t="str">
        <f>HYPERLINK("https://business-monitor.ch/de/companies/360680-uncomplex-gmbh?utm_source=oberaargau","PROFIL ANSEHEN")</f>
        <v>PROFIL ANSEHEN</v>
      </c>
    </row>
    <row r="3464" spans="1:12" x14ac:dyDescent="0.2">
      <c r="A3464" t="s">
        <v>11110</v>
      </c>
      <c r="B3464" t="s">
        <v>11111</v>
      </c>
      <c r="C3464" t="s">
        <v>1812</v>
      </c>
      <c r="E3464" t="s">
        <v>11112</v>
      </c>
      <c r="F3464">
        <v>4538</v>
      </c>
      <c r="G3464" t="s">
        <v>71</v>
      </c>
      <c r="H3464" t="s">
        <v>16</v>
      </c>
      <c r="I3464" t="s">
        <v>917</v>
      </c>
      <c r="J3464" t="s">
        <v>918</v>
      </c>
      <c r="K3464" t="s">
        <v>1809</v>
      </c>
      <c r="L3464" t="str">
        <f>HYPERLINK("https://business-monitor.ch/de/companies/1112164-schallenberger-flexworker?utm_source=oberaargau","PROFIL ANSEHEN")</f>
        <v>PROFIL ANSEHEN</v>
      </c>
    </row>
    <row r="3465" spans="1:12" x14ac:dyDescent="0.2">
      <c r="A3465" t="s">
        <v>4423</v>
      </c>
      <c r="B3465" t="s">
        <v>4424</v>
      </c>
      <c r="C3465" t="s">
        <v>202</v>
      </c>
      <c r="E3465" t="s">
        <v>4425</v>
      </c>
      <c r="F3465">
        <v>4932</v>
      </c>
      <c r="G3465" t="s">
        <v>325</v>
      </c>
      <c r="H3465" t="s">
        <v>16</v>
      </c>
      <c r="I3465" t="s">
        <v>858</v>
      </c>
      <c r="J3465" t="s">
        <v>859</v>
      </c>
      <c r="K3465" t="s">
        <v>1809</v>
      </c>
      <c r="L3465" t="str">
        <f>HYPERLINK("https://business-monitor.ch/de/companies/932001-lack-tech-gmbh?utm_source=oberaargau","PROFIL ANSEHEN")</f>
        <v>PROFIL ANSEHEN</v>
      </c>
    </row>
    <row r="3466" spans="1:12" x14ac:dyDescent="0.2">
      <c r="A3466" t="s">
        <v>6840</v>
      </c>
      <c r="B3466" t="s">
        <v>6841</v>
      </c>
      <c r="C3466" t="s">
        <v>1812</v>
      </c>
      <c r="F3466">
        <v>4539</v>
      </c>
      <c r="G3466" t="s">
        <v>1134</v>
      </c>
      <c r="H3466" t="s">
        <v>16</v>
      </c>
      <c r="I3466" t="s">
        <v>800</v>
      </c>
      <c r="J3466" t="s">
        <v>801</v>
      </c>
      <c r="K3466" t="s">
        <v>1809</v>
      </c>
      <c r="L3466" t="str">
        <f>HYPERLINK("https://business-monitor.ch/de/companies/59734-joerg-ischi?utm_source=oberaargau","PROFIL ANSEHEN")</f>
        <v>PROFIL ANSEHEN</v>
      </c>
    </row>
    <row r="3467" spans="1:12" x14ac:dyDescent="0.2">
      <c r="A3467" t="s">
        <v>10548</v>
      </c>
      <c r="B3467" t="s">
        <v>10549</v>
      </c>
      <c r="C3467" t="s">
        <v>13</v>
      </c>
      <c r="E3467" t="s">
        <v>10550</v>
      </c>
      <c r="F3467">
        <v>3360</v>
      </c>
      <c r="G3467" t="s">
        <v>35</v>
      </c>
      <c r="H3467" t="s">
        <v>16</v>
      </c>
      <c r="I3467" t="s">
        <v>4534</v>
      </c>
      <c r="J3467" t="s">
        <v>4535</v>
      </c>
      <c r="K3467" t="s">
        <v>1809</v>
      </c>
      <c r="L3467" t="str">
        <f>HYPERLINK("https://business-monitor.ch/de/companies/1087949-unicorn-selection-ag?utm_source=oberaargau","PROFIL ANSEHEN")</f>
        <v>PROFIL ANSEHEN</v>
      </c>
    </row>
    <row r="3468" spans="1:12" x14ac:dyDescent="0.2">
      <c r="A3468" t="s">
        <v>13607</v>
      </c>
      <c r="B3468" t="s">
        <v>13608</v>
      </c>
      <c r="C3468" t="s">
        <v>1812</v>
      </c>
      <c r="E3468" t="s">
        <v>11430</v>
      </c>
      <c r="F3468">
        <v>4900</v>
      </c>
      <c r="G3468" t="s">
        <v>41</v>
      </c>
      <c r="H3468" t="s">
        <v>16</v>
      </c>
      <c r="I3468" t="s">
        <v>340</v>
      </c>
      <c r="J3468" t="s">
        <v>341</v>
      </c>
      <c r="K3468" t="s">
        <v>1809</v>
      </c>
      <c r="L3468" t="str">
        <f>HYPERLINK("https://business-monitor.ch/de/companies/1260772-vishaa-collections-uthayakumar-rasaiah?utm_source=oberaargau","PROFIL ANSEHEN")</f>
        <v>PROFIL ANSEHEN</v>
      </c>
    </row>
    <row r="3469" spans="1:12" x14ac:dyDescent="0.2">
      <c r="A3469" t="s">
        <v>6863</v>
      </c>
      <c r="B3469" t="s">
        <v>6864</v>
      </c>
      <c r="C3469" t="s">
        <v>1812</v>
      </c>
      <c r="E3469" t="s">
        <v>3372</v>
      </c>
      <c r="F3469">
        <v>4900</v>
      </c>
      <c r="G3469" t="s">
        <v>41</v>
      </c>
      <c r="H3469" t="s">
        <v>16</v>
      </c>
      <c r="I3469" t="s">
        <v>1860</v>
      </c>
      <c r="J3469" t="s">
        <v>1861</v>
      </c>
      <c r="K3469" t="s">
        <v>1809</v>
      </c>
      <c r="L3469" t="str">
        <f>HYPERLINK("https://business-monitor.ch/de/companies/46184-hairdesign-sandra-marino-luethi?utm_source=oberaargau","PROFIL ANSEHEN")</f>
        <v>PROFIL ANSEHEN</v>
      </c>
    </row>
    <row r="3470" spans="1:12" x14ac:dyDescent="0.2">
      <c r="A3470" t="s">
        <v>5367</v>
      </c>
      <c r="B3470" t="s">
        <v>5368</v>
      </c>
      <c r="C3470" t="s">
        <v>1812</v>
      </c>
      <c r="E3470" t="s">
        <v>5369</v>
      </c>
      <c r="F3470">
        <v>4900</v>
      </c>
      <c r="G3470" t="s">
        <v>41</v>
      </c>
      <c r="H3470" t="s">
        <v>16</v>
      </c>
      <c r="I3470" t="s">
        <v>2414</v>
      </c>
      <c r="J3470" t="s">
        <v>2415</v>
      </c>
      <c r="K3470" t="s">
        <v>1809</v>
      </c>
      <c r="L3470" t="str">
        <f>HYPERLINK("https://business-monitor.ch/de/companies/379009-restaurant-stadthof-priska-hengartner?utm_source=oberaargau","PROFIL ANSEHEN")</f>
        <v>PROFIL ANSEHEN</v>
      </c>
    </row>
    <row r="3471" spans="1:12" x14ac:dyDescent="0.2">
      <c r="A3471" t="s">
        <v>9822</v>
      </c>
      <c r="B3471" t="s">
        <v>9823</v>
      </c>
      <c r="C3471" t="s">
        <v>1812</v>
      </c>
      <c r="E3471" t="s">
        <v>7303</v>
      </c>
      <c r="F3471">
        <v>4912</v>
      </c>
      <c r="G3471" t="s">
        <v>64</v>
      </c>
      <c r="H3471" t="s">
        <v>16</v>
      </c>
      <c r="I3471" t="s">
        <v>624</v>
      </c>
      <c r="J3471" t="s">
        <v>625</v>
      </c>
      <c r="K3471" t="s">
        <v>1809</v>
      </c>
      <c r="L3471" t="str">
        <f>HYPERLINK("https://business-monitor.ch/de/companies/1001623-hegae-egger?utm_source=oberaargau","PROFIL ANSEHEN")</f>
        <v>PROFIL ANSEHEN</v>
      </c>
    </row>
    <row r="3472" spans="1:12" x14ac:dyDescent="0.2">
      <c r="A3472" t="s">
        <v>12777</v>
      </c>
      <c r="B3472" t="s">
        <v>12778</v>
      </c>
      <c r="C3472" t="s">
        <v>13</v>
      </c>
      <c r="D3472" t="s">
        <v>12779</v>
      </c>
      <c r="E3472" t="s">
        <v>12780</v>
      </c>
      <c r="F3472">
        <v>4917</v>
      </c>
      <c r="G3472" t="s">
        <v>376</v>
      </c>
      <c r="H3472" t="s">
        <v>16</v>
      </c>
      <c r="I3472" t="s">
        <v>182</v>
      </c>
      <c r="J3472" t="s">
        <v>183</v>
      </c>
      <c r="K3472" t="s">
        <v>1809</v>
      </c>
      <c r="L3472" t="str">
        <f>HYPERLINK("https://business-monitor.ch/de/companies/1222799-posterframes-group-ag?utm_source=oberaargau","PROFIL ANSEHEN")</f>
        <v>PROFIL ANSEHEN</v>
      </c>
    </row>
    <row r="3473" spans="1:12" x14ac:dyDescent="0.2">
      <c r="A3473" t="s">
        <v>12015</v>
      </c>
      <c r="B3473" t="s">
        <v>12016</v>
      </c>
      <c r="C3473" t="s">
        <v>202</v>
      </c>
      <c r="E3473" t="s">
        <v>3485</v>
      </c>
      <c r="F3473">
        <v>4900</v>
      </c>
      <c r="G3473" t="s">
        <v>41</v>
      </c>
      <c r="H3473" t="s">
        <v>16</v>
      </c>
      <c r="I3473" t="s">
        <v>824</v>
      </c>
      <c r="J3473" t="s">
        <v>825</v>
      </c>
      <c r="K3473" t="s">
        <v>1809</v>
      </c>
      <c r="L3473" t="str">
        <f>HYPERLINK("https://business-monitor.ch/de/companies/526209-pita-gmbh?utm_source=oberaargau","PROFIL ANSEHEN")</f>
        <v>PROFIL ANSEHEN</v>
      </c>
    </row>
    <row r="3474" spans="1:12" x14ac:dyDescent="0.2">
      <c r="A3474" t="s">
        <v>10664</v>
      </c>
      <c r="B3474" t="s">
        <v>10665</v>
      </c>
      <c r="C3474" t="s">
        <v>1812</v>
      </c>
      <c r="E3474" t="s">
        <v>10666</v>
      </c>
      <c r="F3474">
        <v>4911</v>
      </c>
      <c r="G3474" t="s">
        <v>1005</v>
      </c>
      <c r="H3474" t="s">
        <v>16</v>
      </c>
      <c r="I3474" t="s">
        <v>1193</v>
      </c>
      <c r="J3474" t="s">
        <v>1194</v>
      </c>
      <c r="K3474" t="s">
        <v>1809</v>
      </c>
      <c r="L3474" t="str">
        <f>HYPERLINK("https://business-monitor.ch/de/companies/1071176-brem-data?utm_source=oberaargau","PROFIL ANSEHEN")</f>
        <v>PROFIL ANSEHEN</v>
      </c>
    </row>
    <row r="3475" spans="1:12" x14ac:dyDescent="0.2">
      <c r="A3475" t="s">
        <v>12800</v>
      </c>
      <c r="B3475" t="s">
        <v>12801</v>
      </c>
      <c r="C3475" t="s">
        <v>13</v>
      </c>
      <c r="E3475" t="s">
        <v>5129</v>
      </c>
      <c r="F3475">
        <v>4900</v>
      </c>
      <c r="G3475" t="s">
        <v>41</v>
      </c>
      <c r="H3475" t="s">
        <v>16</v>
      </c>
      <c r="I3475" t="s">
        <v>4039</v>
      </c>
      <c r="J3475" t="s">
        <v>4040</v>
      </c>
      <c r="K3475" t="s">
        <v>1809</v>
      </c>
      <c r="L3475" t="str">
        <f>HYPERLINK("https://business-monitor.ch/de/companies/1223834-exo-sports-ag?utm_source=oberaargau","PROFIL ANSEHEN")</f>
        <v>PROFIL ANSEHEN</v>
      </c>
    </row>
    <row r="3476" spans="1:12" x14ac:dyDescent="0.2">
      <c r="A3476" t="s">
        <v>8720</v>
      </c>
      <c r="B3476" t="s">
        <v>8721</v>
      </c>
      <c r="C3476" t="s">
        <v>1812</v>
      </c>
      <c r="E3476" t="s">
        <v>7764</v>
      </c>
      <c r="F3476">
        <v>4538</v>
      </c>
      <c r="G3476" t="s">
        <v>71</v>
      </c>
      <c r="H3476" t="s">
        <v>16</v>
      </c>
      <c r="I3476" t="s">
        <v>464</v>
      </c>
      <c r="J3476" t="s">
        <v>465</v>
      </c>
      <c r="K3476" t="s">
        <v>1809</v>
      </c>
      <c r="L3476" t="str">
        <f>HYPERLINK("https://business-monitor.ch/de/companies/391135-singer-transporte?utm_source=oberaargau","PROFIL ANSEHEN")</f>
        <v>PROFIL ANSEHEN</v>
      </c>
    </row>
    <row r="3477" spans="1:12" x14ac:dyDescent="0.2">
      <c r="A3477" t="s">
        <v>13694</v>
      </c>
      <c r="B3477" t="s">
        <v>13695</v>
      </c>
      <c r="C3477" t="s">
        <v>1812</v>
      </c>
      <c r="E3477" t="s">
        <v>7644</v>
      </c>
      <c r="F3477">
        <v>4900</v>
      </c>
      <c r="G3477" t="s">
        <v>41</v>
      </c>
      <c r="H3477" t="s">
        <v>16</v>
      </c>
      <c r="I3477" t="s">
        <v>3775</v>
      </c>
      <c r="J3477" t="s">
        <v>3776</v>
      </c>
      <c r="K3477" t="s">
        <v>1809</v>
      </c>
      <c r="L3477" t="str">
        <f>HYPERLINK("https://business-monitor.ch/de/companies/1258773-faff-video-kolaj?utm_source=oberaargau","PROFIL ANSEHEN")</f>
        <v>PROFIL ANSEHEN</v>
      </c>
    </row>
    <row r="3478" spans="1:12" x14ac:dyDescent="0.2">
      <c r="A3478" t="s">
        <v>2425</v>
      </c>
      <c r="B3478" t="s">
        <v>2426</v>
      </c>
      <c r="C3478" t="s">
        <v>202</v>
      </c>
      <c r="E3478" t="s">
        <v>2427</v>
      </c>
      <c r="F3478">
        <v>4900</v>
      </c>
      <c r="G3478" t="s">
        <v>41</v>
      </c>
      <c r="H3478" t="s">
        <v>16</v>
      </c>
      <c r="I3478" t="s">
        <v>1818</v>
      </c>
      <c r="J3478" t="s">
        <v>1819</v>
      </c>
      <c r="K3478" t="s">
        <v>1809</v>
      </c>
      <c r="L3478" t="str">
        <f>HYPERLINK("https://business-monitor.ch/de/companies/527253-tmd-global-consulting-gmbh?utm_source=oberaargau","PROFIL ANSEHEN")</f>
        <v>PROFIL ANSEHEN</v>
      </c>
    </row>
    <row r="3479" spans="1:12" x14ac:dyDescent="0.2">
      <c r="A3479" t="s">
        <v>11201</v>
      </c>
      <c r="B3479" t="s">
        <v>11202</v>
      </c>
      <c r="C3479" t="s">
        <v>202</v>
      </c>
      <c r="E3479" t="s">
        <v>11203</v>
      </c>
      <c r="F3479">
        <v>4900</v>
      </c>
      <c r="G3479" t="s">
        <v>41</v>
      </c>
      <c r="H3479" t="s">
        <v>16</v>
      </c>
      <c r="I3479" t="s">
        <v>1855</v>
      </c>
      <c r="J3479" t="s">
        <v>1856</v>
      </c>
      <c r="K3479" t="s">
        <v>1809</v>
      </c>
      <c r="L3479" t="str">
        <f>HYPERLINK("https://business-monitor.ch/de/companies/1130944-chopfarbeit-gmbh?utm_source=oberaargau","PROFIL ANSEHEN")</f>
        <v>PROFIL ANSEHEN</v>
      </c>
    </row>
    <row r="3480" spans="1:12" x14ac:dyDescent="0.2">
      <c r="A3480" t="s">
        <v>8697</v>
      </c>
      <c r="B3480" t="s">
        <v>10696</v>
      </c>
      <c r="C3480" t="s">
        <v>1812</v>
      </c>
      <c r="E3480" t="s">
        <v>10697</v>
      </c>
      <c r="F3480">
        <v>3375</v>
      </c>
      <c r="G3480" t="s">
        <v>667</v>
      </c>
      <c r="H3480" t="s">
        <v>16</v>
      </c>
      <c r="I3480" t="s">
        <v>824</v>
      </c>
      <c r="J3480" t="s">
        <v>825</v>
      </c>
      <c r="K3480" t="s">
        <v>1809</v>
      </c>
      <c r="L3480" t="str">
        <f>HYPERLINK("https://business-monitor.ch/de/companies/396230-restaurant-hirschen-hoeffernig-andreas?utm_source=oberaargau","PROFIL ANSEHEN")</f>
        <v>PROFIL ANSEHEN</v>
      </c>
    </row>
    <row r="3481" spans="1:12" x14ac:dyDescent="0.2">
      <c r="A3481" t="s">
        <v>4677</v>
      </c>
      <c r="B3481" t="s">
        <v>4678</v>
      </c>
      <c r="C3481" t="s">
        <v>1827</v>
      </c>
      <c r="E3481" t="s">
        <v>4679</v>
      </c>
      <c r="F3481">
        <v>4538</v>
      </c>
      <c r="G3481" t="s">
        <v>71</v>
      </c>
      <c r="H3481" t="s">
        <v>16</v>
      </c>
      <c r="I3481" t="s">
        <v>59</v>
      </c>
      <c r="J3481" t="s">
        <v>60</v>
      </c>
      <c r="K3481" t="s">
        <v>1809</v>
      </c>
      <c r="L3481" t="str">
        <f>HYPERLINK("https://business-monitor.ch/de/companies/610795-mermoud-leuenberger-co?utm_source=oberaargau","PROFIL ANSEHEN")</f>
        <v>PROFIL ANSEHEN</v>
      </c>
    </row>
    <row r="3482" spans="1:12" x14ac:dyDescent="0.2">
      <c r="A3482" t="s">
        <v>10451</v>
      </c>
      <c r="B3482" t="s">
        <v>10452</v>
      </c>
      <c r="C3482" t="s">
        <v>13</v>
      </c>
      <c r="D3482" t="s">
        <v>10453</v>
      </c>
      <c r="E3482" t="s">
        <v>816</v>
      </c>
      <c r="F3482">
        <v>4934</v>
      </c>
      <c r="G3482" t="s">
        <v>670</v>
      </c>
      <c r="H3482" t="s">
        <v>16</v>
      </c>
      <c r="I3482" t="s">
        <v>182</v>
      </c>
      <c r="J3482" t="s">
        <v>183</v>
      </c>
      <c r="K3482" t="s">
        <v>1809</v>
      </c>
      <c r="L3482" t="str">
        <f>HYPERLINK("https://business-monitor.ch/de/companies/1089844-blumatech-beteiligungen-ag?utm_source=oberaargau","PROFIL ANSEHEN")</f>
        <v>PROFIL ANSEHEN</v>
      </c>
    </row>
    <row r="3483" spans="1:12" x14ac:dyDescent="0.2">
      <c r="A3483" t="s">
        <v>7957</v>
      </c>
      <c r="B3483" t="s">
        <v>7958</v>
      </c>
      <c r="C3483" t="s">
        <v>202</v>
      </c>
      <c r="E3483" t="s">
        <v>3438</v>
      </c>
      <c r="F3483">
        <v>4536</v>
      </c>
      <c r="G3483" t="s">
        <v>1395</v>
      </c>
      <c r="H3483" t="s">
        <v>16</v>
      </c>
      <c r="I3483" t="s">
        <v>175</v>
      </c>
      <c r="J3483" t="s">
        <v>176</v>
      </c>
      <c r="K3483" t="s">
        <v>1809</v>
      </c>
      <c r="L3483" t="str">
        <f>HYPERLINK("https://business-monitor.ch/de/companies/337728-autolackiererei-hoppy-gmbh?utm_source=oberaargau","PROFIL ANSEHEN")</f>
        <v>PROFIL ANSEHEN</v>
      </c>
    </row>
    <row r="3484" spans="1:12" x14ac:dyDescent="0.2">
      <c r="A3484" t="s">
        <v>10897</v>
      </c>
      <c r="B3484" t="s">
        <v>10898</v>
      </c>
      <c r="C3484" t="s">
        <v>1922</v>
      </c>
      <c r="D3484" t="s">
        <v>4974</v>
      </c>
      <c r="E3484" t="s">
        <v>3372</v>
      </c>
      <c r="F3484">
        <v>4900</v>
      </c>
      <c r="G3484" t="s">
        <v>41</v>
      </c>
      <c r="H3484" t="s">
        <v>16</v>
      </c>
      <c r="I3484" t="s">
        <v>2912</v>
      </c>
      <c r="J3484" t="s">
        <v>2913</v>
      </c>
      <c r="K3484" t="s">
        <v>1809</v>
      </c>
      <c r="L3484" t="str">
        <f>HYPERLINK("https://business-monitor.ch/de/companies/1110642-stiftung-rulyando?utm_source=oberaargau","PROFIL ANSEHEN")</f>
        <v>PROFIL ANSEHEN</v>
      </c>
    </row>
    <row r="3485" spans="1:12" x14ac:dyDescent="0.2">
      <c r="A3485" t="s">
        <v>5456</v>
      </c>
      <c r="B3485" t="s">
        <v>5457</v>
      </c>
      <c r="C3485" t="s">
        <v>13</v>
      </c>
      <c r="E3485" t="s">
        <v>683</v>
      </c>
      <c r="F3485">
        <v>4955</v>
      </c>
      <c r="G3485" t="s">
        <v>684</v>
      </c>
      <c r="H3485" t="s">
        <v>16</v>
      </c>
      <c r="I3485" t="s">
        <v>157</v>
      </c>
      <c r="J3485" t="s">
        <v>158</v>
      </c>
      <c r="K3485" t="s">
        <v>1809</v>
      </c>
      <c r="L3485" t="str">
        <f>HYPERLINK("https://business-monitor.ch/de/companies/203456-fbg-immo-ag?utm_source=oberaargau","PROFIL ANSEHEN")</f>
        <v>PROFIL ANSEHEN</v>
      </c>
    </row>
    <row r="3486" spans="1:12" x14ac:dyDescent="0.2">
      <c r="A3486" t="s">
        <v>13407</v>
      </c>
      <c r="B3486" t="s">
        <v>13408</v>
      </c>
      <c r="C3486" t="s">
        <v>1812</v>
      </c>
      <c r="E3486" t="s">
        <v>9730</v>
      </c>
      <c r="F3486">
        <v>4538</v>
      </c>
      <c r="G3486" t="s">
        <v>71</v>
      </c>
      <c r="H3486" t="s">
        <v>16</v>
      </c>
      <c r="I3486" t="s">
        <v>3861</v>
      </c>
      <c r="J3486" t="s">
        <v>3862</v>
      </c>
      <c r="K3486" t="s">
        <v>1809</v>
      </c>
      <c r="L3486" t="str">
        <f>HYPERLINK("https://business-monitor.ch/de/companies/1246258-z-health-by-zobrist?utm_source=oberaargau","PROFIL ANSEHEN")</f>
        <v>PROFIL ANSEHEN</v>
      </c>
    </row>
    <row r="3487" spans="1:12" x14ac:dyDescent="0.2">
      <c r="A3487" t="s">
        <v>5702</v>
      </c>
      <c r="B3487" t="s">
        <v>6723</v>
      </c>
      <c r="C3487" t="s">
        <v>13</v>
      </c>
      <c r="E3487" t="s">
        <v>3801</v>
      </c>
      <c r="F3487">
        <v>4914</v>
      </c>
      <c r="G3487" t="s">
        <v>105</v>
      </c>
      <c r="H3487" t="s">
        <v>16</v>
      </c>
      <c r="I3487" t="s">
        <v>570</v>
      </c>
      <c r="J3487" t="s">
        <v>571</v>
      </c>
      <c r="K3487" t="s">
        <v>1809</v>
      </c>
      <c r="L3487" t="str">
        <f>HYPERLINK("https://business-monitor.ch/de/companies/135107-elmar-ag?utm_source=oberaargau","PROFIL ANSEHEN")</f>
        <v>PROFIL ANSEHEN</v>
      </c>
    </row>
    <row r="3488" spans="1:12" x14ac:dyDescent="0.2">
      <c r="A3488" t="s">
        <v>13225</v>
      </c>
      <c r="B3488" t="s">
        <v>13226</v>
      </c>
      <c r="C3488" t="s">
        <v>1812</v>
      </c>
      <c r="E3488" t="s">
        <v>13227</v>
      </c>
      <c r="F3488">
        <v>4922</v>
      </c>
      <c r="G3488" t="s">
        <v>99</v>
      </c>
      <c r="H3488" t="s">
        <v>16</v>
      </c>
      <c r="I3488" t="s">
        <v>733</v>
      </c>
      <c r="J3488" t="s">
        <v>734</v>
      </c>
      <c r="K3488" t="s">
        <v>1809</v>
      </c>
      <c r="L3488" t="str">
        <f>HYPERLINK("https://business-monitor.ch/de/companies/1238672-augustinavicius?utm_source=oberaargau","PROFIL ANSEHEN")</f>
        <v>PROFIL ANSEHEN</v>
      </c>
    </row>
    <row r="3489" spans="1:12" x14ac:dyDescent="0.2">
      <c r="A3489" t="s">
        <v>8682</v>
      </c>
      <c r="B3489" t="s">
        <v>8683</v>
      </c>
      <c r="C3489" t="s">
        <v>1812</v>
      </c>
      <c r="E3489" t="s">
        <v>3343</v>
      </c>
      <c r="F3489">
        <v>4900</v>
      </c>
      <c r="G3489" t="s">
        <v>41</v>
      </c>
      <c r="H3489" t="s">
        <v>16</v>
      </c>
      <c r="I3489" t="s">
        <v>679</v>
      </c>
      <c r="J3489" t="s">
        <v>680</v>
      </c>
      <c r="K3489" t="s">
        <v>1809</v>
      </c>
      <c r="L3489" t="str">
        <f>HYPERLINK("https://business-monitor.ch/de/companies/413320-werkstatt-bienenstock-s-engel?utm_source=oberaargau","PROFIL ANSEHEN")</f>
        <v>PROFIL ANSEHEN</v>
      </c>
    </row>
    <row r="3490" spans="1:12" x14ac:dyDescent="0.2">
      <c r="A3490" t="s">
        <v>12306</v>
      </c>
      <c r="B3490" t="s">
        <v>12307</v>
      </c>
      <c r="C3490" t="s">
        <v>1812</v>
      </c>
      <c r="E3490" t="s">
        <v>12308</v>
      </c>
      <c r="F3490">
        <v>4900</v>
      </c>
      <c r="G3490" t="s">
        <v>41</v>
      </c>
      <c r="H3490" t="s">
        <v>16</v>
      </c>
      <c r="I3490" t="s">
        <v>1097</v>
      </c>
      <c r="J3490" t="s">
        <v>1098</v>
      </c>
      <c r="K3490" t="s">
        <v>1809</v>
      </c>
      <c r="L3490" t="str">
        <f>HYPERLINK("https://business-monitor.ch/de/companies/1054891-klein-s-grillshop?utm_source=oberaargau","PROFIL ANSEHEN")</f>
        <v>PROFIL ANSEHEN</v>
      </c>
    </row>
    <row r="3491" spans="1:12" x14ac:dyDescent="0.2">
      <c r="A3491" t="s">
        <v>5817</v>
      </c>
      <c r="B3491" t="s">
        <v>5818</v>
      </c>
      <c r="C3491" t="s">
        <v>13</v>
      </c>
      <c r="E3491" t="s">
        <v>5819</v>
      </c>
      <c r="F3491">
        <v>3360</v>
      </c>
      <c r="G3491" t="s">
        <v>35</v>
      </c>
      <c r="H3491" t="s">
        <v>16</v>
      </c>
      <c r="I3491" t="s">
        <v>157</v>
      </c>
      <c r="J3491" t="s">
        <v>158</v>
      </c>
      <c r="K3491" t="s">
        <v>1809</v>
      </c>
      <c r="L3491" t="str">
        <f>HYPERLINK("https://business-monitor.ch/de/companies/398045-rkg-ag?utm_source=oberaargau","PROFIL ANSEHEN")</f>
        <v>PROFIL ANSEHEN</v>
      </c>
    </row>
    <row r="3492" spans="1:12" x14ac:dyDescent="0.2">
      <c r="A3492" t="s">
        <v>10537</v>
      </c>
      <c r="B3492" t="s">
        <v>10538</v>
      </c>
      <c r="C3492" t="s">
        <v>1812</v>
      </c>
      <c r="E3492" t="s">
        <v>10539</v>
      </c>
      <c r="F3492">
        <v>3360</v>
      </c>
      <c r="G3492" t="s">
        <v>35</v>
      </c>
      <c r="H3492" t="s">
        <v>16</v>
      </c>
      <c r="I3492" t="s">
        <v>2231</v>
      </c>
      <c r="J3492" t="s">
        <v>2232</v>
      </c>
      <c r="K3492" t="s">
        <v>1809</v>
      </c>
      <c r="L3492" t="str">
        <f>HYPERLINK("https://business-monitor.ch/de/companies/1088428-wabrooh-atelier-airbrush-lackierung-d-wanner?utm_source=oberaargau","PROFIL ANSEHEN")</f>
        <v>PROFIL ANSEHEN</v>
      </c>
    </row>
    <row r="3493" spans="1:12" x14ac:dyDescent="0.2">
      <c r="A3493" t="s">
        <v>12017</v>
      </c>
      <c r="B3493" t="s">
        <v>12018</v>
      </c>
      <c r="C3493" t="s">
        <v>202</v>
      </c>
      <c r="E3493" t="s">
        <v>7465</v>
      </c>
      <c r="F3493">
        <v>4900</v>
      </c>
      <c r="G3493" t="s">
        <v>41</v>
      </c>
      <c r="H3493" t="s">
        <v>16</v>
      </c>
      <c r="I3493" t="s">
        <v>2440</v>
      </c>
      <c r="J3493" t="s">
        <v>2441</v>
      </c>
      <c r="K3493" t="s">
        <v>1809</v>
      </c>
      <c r="L3493" t="str">
        <f>HYPERLINK("https://business-monitor.ch/de/companies/1178824-keramikpartner-gmbh?utm_source=oberaargau","PROFIL ANSEHEN")</f>
        <v>PROFIL ANSEHEN</v>
      </c>
    </row>
    <row r="3494" spans="1:12" x14ac:dyDescent="0.2">
      <c r="A3494" t="s">
        <v>5192</v>
      </c>
      <c r="B3494" t="s">
        <v>5193</v>
      </c>
      <c r="C3494" t="s">
        <v>1812</v>
      </c>
      <c r="E3494" t="s">
        <v>5180</v>
      </c>
      <c r="F3494">
        <v>4538</v>
      </c>
      <c r="G3494" t="s">
        <v>71</v>
      </c>
      <c r="H3494" t="s">
        <v>16</v>
      </c>
      <c r="I3494" t="s">
        <v>733</v>
      </c>
      <c r="J3494" t="s">
        <v>734</v>
      </c>
      <c r="K3494" t="s">
        <v>1809</v>
      </c>
      <c r="L3494" t="str">
        <f>HYPERLINK("https://business-monitor.ch/de/companies/1088913-simon-cars?utm_source=oberaargau","PROFIL ANSEHEN")</f>
        <v>PROFIL ANSEHEN</v>
      </c>
    </row>
    <row r="3495" spans="1:12" x14ac:dyDescent="0.2">
      <c r="A3495" t="s">
        <v>14574</v>
      </c>
      <c r="B3495" t="s">
        <v>14575</v>
      </c>
      <c r="C3495" t="s">
        <v>1812</v>
      </c>
      <c r="E3495" t="s">
        <v>10179</v>
      </c>
      <c r="F3495">
        <v>4704</v>
      </c>
      <c r="G3495" t="s">
        <v>221</v>
      </c>
      <c r="H3495" t="s">
        <v>16</v>
      </c>
      <c r="I3495" t="s">
        <v>1683</v>
      </c>
      <c r="J3495" t="s">
        <v>1684</v>
      </c>
      <c r="K3495" t="s">
        <v>1809</v>
      </c>
      <c r="L3495" t="str">
        <f>HYPERLINK("https://business-monitor.ch/de/companies/1304208-denner-partner-inhaberin-carrel?utm_source=oberaargau","PROFIL ANSEHEN")</f>
        <v>PROFIL ANSEHEN</v>
      </c>
    </row>
    <row r="3496" spans="1:12" x14ac:dyDescent="0.2">
      <c r="A3496" t="s">
        <v>3239</v>
      </c>
      <c r="B3496" t="s">
        <v>3240</v>
      </c>
      <c r="C3496" t="s">
        <v>202</v>
      </c>
      <c r="E3496" t="s">
        <v>959</v>
      </c>
      <c r="F3496">
        <v>4950</v>
      </c>
      <c r="G3496" t="s">
        <v>15</v>
      </c>
      <c r="H3496" t="s">
        <v>16</v>
      </c>
      <c r="I3496" t="s">
        <v>232</v>
      </c>
      <c r="J3496" t="s">
        <v>233</v>
      </c>
      <c r="K3496" t="s">
        <v>1809</v>
      </c>
      <c r="L3496" t="str">
        <f>HYPERLINK("https://business-monitor.ch/de/companies/266057-sn-gmbh?utm_source=oberaargau","PROFIL ANSEHEN")</f>
        <v>PROFIL ANSEHEN</v>
      </c>
    </row>
    <row r="3497" spans="1:12" x14ac:dyDescent="0.2">
      <c r="A3497" t="s">
        <v>13156</v>
      </c>
      <c r="B3497" t="s">
        <v>13157</v>
      </c>
      <c r="C3497" t="s">
        <v>13</v>
      </c>
      <c r="E3497" t="s">
        <v>6620</v>
      </c>
      <c r="F3497">
        <v>4912</v>
      </c>
      <c r="G3497" t="s">
        <v>64</v>
      </c>
      <c r="H3497" t="s">
        <v>16</v>
      </c>
      <c r="I3497" t="s">
        <v>935</v>
      </c>
      <c r="J3497" t="s">
        <v>936</v>
      </c>
      <c r="K3497" t="s">
        <v>1809</v>
      </c>
      <c r="L3497" t="str">
        <f>HYPERLINK("https://business-monitor.ch/de/companies/1229466-ammaev-immo-ag?utm_source=oberaargau","PROFIL ANSEHEN")</f>
        <v>PROFIL ANSEHEN</v>
      </c>
    </row>
    <row r="3498" spans="1:12" x14ac:dyDescent="0.2">
      <c r="A3498" t="s">
        <v>10716</v>
      </c>
      <c r="B3498" t="s">
        <v>10717</v>
      </c>
      <c r="C3498" t="s">
        <v>13</v>
      </c>
      <c r="E3498" t="s">
        <v>10718</v>
      </c>
      <c r="F3498">
        <v>4950</v>
      </c>
      <c r="G3498" t="s">
        <v>15</v>
      </c>
      <c r="H3498" t="s">
        <v>16</v>
      </c>
      <c r="I3498" t="s">
        <v>679</v>
      </c>
      <c r="J3498" t="s">
        <v>680</v>
      </c>
      <c r="K3498" t="s">
        <v>1809</v>
      </c>
      <c r="L3498" t="str">
        <f>HYPERLINK("https://business-monitor.ch/de/companies/244570-eggimann-heinz-ag?utm_source=oberaargau","PROFIL ANSEHEN")</f>
        <v>PROFIL ANSEHEN</v>
      </c>
    </row>
    <row r="3499" spans="1:12" x14ac:dyDescent="0.2">
      <c r="A3499" t="s">
        <v>8380</v>
      </c>
      <c r="B3499" t="s">
        <v>8381</v>
      </c>
      <c r="C3499" t="s">
        <v>1812</v>
      </c>
      <c r="E3499" t="s">
        <v>8382</v>
      </c>
      <c r="F3499">
        <v>3360</v>
      </c>
      <c r="G3499" t="s">
        <v>35</v>
      </c>
      <c r="H3499" t="s">
        <v>16</v>
      </c>
      <c r="I3499" t="s">
        <v>2900</v>
      </c>
      <c r="J3499" t="s">
        <v>2901</v>
      </c>
      <c r="K3499" t="s">
        <v>1809</v>
      </c>
      <c r="L3499" t="str">
        <f>HYPERLINK("https://business-monitor.ch/de/companies/92737-autofahrschule-moell?utm_source=oberaargau","PROFIL ANSEHEN")</f>
        <v>PROFIL ANSEHEN</v>
      </c>
    </row>
    <row r="3500" spans="1:12" x14ac:dyDescent="0.2">
      <c r="A3500" t="s">
        <v>1118</v>
      </c>
      <c r="B3500" t="s">
        <v>1119</v>
      </c>
      <c r="C3500" t="s">
        <v>13</v>
      </c>
      <c r="E3500" t="s">
        <v>226</v>
      </c>
      <c r="F3500">
        <v>4704</v>
      </c>
      <c r="G3500" t="s">
        <v>221</v>
      </c>
      <c r="H3500" t="s">
        <v>16</v>
      </c>
      <c r="I3500" t="s">
        <v>475</v>
      </c>
      <c r="J3500" t="s">
        <v>476</v>
      </c>
      <c r="K3500" t="s">
        <v>1809</v>
      </c>
      <c r="L3500" t="str">
        <f>HYPERLINK("https://business-monitor.ch/de/companies/560388-albalog-ag?utm_source=oberaargau","PROFIL ANSEHEN")</f>
        <v>PROFIL ANSEHEN</v>
      </c>
    </row>
    <row r="3501" spans="1:12" x14ac:dyDescent="0.2">
      <c r="A3501" t="s">
        <v>11373</v>
      </c>
      <c r="B3501" t="s">
        <v>11374</v>
      </c>
      <c r="C3501" t="s">
        <v>13</v>
      </c>
      <c r="E3501" t="s">
        <v>5431</v>
      </c>
      <c r="F3501">
        <v>3360</v>
      </c>
      <c r="G3501" t="s">
        <v>35</v>
      </c>
      <c r="H3501" t="s">
        <v>16</v>
      </c>
      <c r="I3501" t="s">
        <v>671</v>
      </c>
      <c r="J3501" t="s">
        <v>672</v>
      </c>
      <c r="K3501" t="s">
        <v>1809</v>
      </c>
      <c r="L3501" t="str">
        <f>HYPERLINK("https://business-monitor.ch/de/companies/1137113-aerztehuus-buchsi-ag?utm_source=oberaargau","PROFIL ANSEHEN")</f>
        <v>PROFIL ANSEHEN</v>
      </c>
    </row>
    <row r="3502" spans="1:12" x14ac:dyDescent="0.2">
      <c r="A3502" t="s">
        <v>1978</v>
      </c>
      <c r="B3502" t="s">
        <v>1979</v>
      </c>
      <c r="C3502" t="s">
        <v>1812</v>
      </c>
      <c r="E3502" t="s">
        <v>1980</v>
      </c>
      <c r="F3502">
        <v>4900</v>
      </c>
      <c r="G3502" t="s">
        <v>41</v>
      </c>
      <c r="H3502" t="s">
        <v>16</v>
      </c>
      <c r="I3502" t="s">
        <v>1981</v>
      </c>
      <c r="J3502" t="s">
        <v>1982</v>
      </c>
      <c r="K3502" t="s">
        <v>1809</v>
      </c>
      <c r="L3502" t="str">
        <f>HYPERLINK("https://business-monitor.ch/de/companies/210604-bijouterie-l-eleganza-c-winistoerfer?utm_source=oberaargau","PROFIL ANSEHEN")</f>
        <v>PROFIL ANSEHEN</v>
      </c>
    </row>
    <row r="3503" spans="1:12" x14ac:dyDescent="0.2">
      <c r="A3503" t="s">
        <v>1545</v>
      </c>
      <c r="B3503" t="s">
        <v>6404</v>
      </c>
      <c r="C3503" t="s">
        <v>202</v>
      </c>
      <c r="E3503" t="s">
        <v>14576</v>
      </c>
      <c r="F3503">
        <v>3464</v>
      </c>
      <c r="G3503" t="s">
        <v>3044</v>
      </c>
      <c r="H3503" t="s">
        <v>16</v>
      </c>
      <c r="I3503" t="s">
        <v>624</v>
      </c>
      <c r="J3503" t="s">
        <v>625</v>
      </c>
      <c r="K3503" t="s">
        <v>1809</v>
      </c>
      <c r="L3503" t="str">
        <f>HYPERLINK("https://business-monitor.ch/de/companies/289491-simon-bichsel-holzbau-gmbh?utm_source=oberaargau","PROFIL ANSEHEN")</f>
        <v>PROFIL ANSEHEN</v>
      </c>
    </row>
    <row r="3504" spans="1:12" x14ac:dyDescent="0.2">
      <c r="A3504" t="s">
        <v>9035</v>
      </c>
      <c r="B3504" t="s">
        <v>13349</v>
      </c>
      <c r="C3504" t="s">
        <v>1827</v>
      </c>
      <c r="E3504" t="s">
        <v>1911</v>
      </c>
      <c r="F3504">
        <v>4537</v>
      </c>
      <c r="G3504" t="s">
        <v>113</v>
      </c>
      <c r="H3504" t="s">
        <v>16</v>
      </c>
      <c r="I3504" t="s">
        <v>507</v>
      </c>
      <c r="J3504" t="s">
        <v>508</v>
      </c>
      <c r="K3504" t="s">
        <v>1809</v>
      </c>
      <c r="L3504" t="str">
        <f>HYPERLINK("https://business-monitor.ch/de/companies/214812-deli-metzg-bichsel-partner-klg?utm_source=oberaargau","PROFIL ANSEHEN")</f>
        <v>PROFIL ANSEHEN</v>
      </c>
    </row>
    <row r="3505" spans="1:12" x14ac:dyDescent="0.2">
      <c r="A3505" t="s">
        <v>3264</v>
      </c>
      <c r="B3505" t="s">
        <v>3265</v>
      </c>
      <c r="C3505" t="s">
        <v>1922</v>
      </c>
      <c r="E3505" t="s">
        <v>412</v>
      </c>
      <c r="F3505">
        <v>4914</v>
      </c>
      <c r="G3505" t="s">
        <v>105</v>
      </c>
      <c r="H3505" t="s">
        <v>16</v>
      </c>
      <c r="I3505" t="s">
        <v>2116</v>
      </c>
      <c r="J3505" t="s">
        <v>2117</v>
      </c>
      <c r="K3505" t="s">
        <v>1809</v>
      </c>
      <c r="L3505" t="str">
        <f>HYPERLINK("https://business-monitor.ch/de/companies/255259-personalvorsorgestiftung-der-schneeberger-gruppe?utm_source=oberaargau","PROFIL ANSEHEN")</f>
        <v>PROFIL ANSEHEN</v>
      </c>
    </row>
    <row r="3506" spans="1:12" x14ac:dyDescent="0.2">
      <c r="A3506" t="s">
        <v>8122</v>
      </c>
      <c r="B3506" t="s">
        <v>8123</v>
      </c>
      <c r="C3506" t="s">
        <v>1812</v>
      </c>
      <c r="E3506" t="s">
        <v>8124</v>
      </c>
      <c r="F3506">
        <v>4950</v>
      </c>
      <c r="G3506" t="s">
        <v>15</v>
      </c>
      <c r="H3506" t="s">
        <v>16</v>
      </c>
      <c r="I3506" t="s">
        <v>24</v>
      </c>
      <c r="J3506" t="s">
        <v>25</v>
      </c>
      <c r="K3506" t="s">
        <v>1809</v>
      </c>
      <c r="L3506" t="str">
        <f>HYPERLINK("https://business-monitor.ch/de/companies/435123-panamiga-luigi-chiarot?utm_source=oberaargau","PROFIL ANSEHEN")</f>
        <v>PROFIL ANSEHEN</v>
      </c>
    </row>
    <row r="3507" spans="1:12" x14ac:dyDescent="0.2">
      <c r="A3507" t="s">
        <v>11299</v>
      </c>
      <c r="B3507" t="s">
        <v>11300</v>
      </c>
      <c r="C3507" t="s">
        <v>1812</v>
      </c>
      <c r="E3507" t="s">
        <v>4108</v>
      </c>
      <c r="F3507">
        <v>4537</v>
      </c>
      <c r="G3507" t="s">
        <v>113</v>
      </c>
      <c r="H3507" t="s">
        <v>16</v>
      </c>
      <c r="I3507" t="s">
        <v>4205</v>
      </c>
      <c r="J3507" t="s">
        <v>4206</v>
      </c>
      <c r="K3507" t="s">
        <v>1809</v>
      </c>
      <c r="L3507" t="str">
        <f>HYPERLINK("https://business-monitor.ch/de/companies/1131673-jj-kiosk-shop-kanavathipillai?utm_source=oberaargau","PROFIL ANSEHEN")</f>
        <v>PROFIL ANSEHEN</v>
      </c>
    </row>
    <row r="3508" spans="1:12" x14ac:dyDescent="0.2">
      <c r="A3508" t="s">
        <v>6435</v>
      </c>
      <c r="B3508" t="s">
        <v>6436</v>
      </c>
      <c r="C3508" t="s">
        <v>1922</v>
      </c>
      <c r="D3508" t="s">
        <v>14210</v>
      </c>
      <c r="E3508" t="s">
        <v>879</v>
      </c>
      <c r="F3508">
        <v>3360</v>
      </c>
      <c r="G3508" t="s">
        <v>35</v>
      </c>
      <c r="H3508" t="s">
        <v>16</v>
      </c>
      <c r="I3508" t="s">
        <v>6437</v>
      </c>
      <c r="J3508" t="s">
        <v>6438</v>
      </c>
      <c r="K3508" t="s">
        <v>1809</v>
      </c>
      <c r="L3508" t="str">
        <f>HYPERLINK("https://business-monitor.ch/de/companies/280975-stiftung-jugend-herzogenbuchsee?utm_source=oberaargau","PROFIL ANSEHEN")</f>
        <v>PROFIL ANSEHEN</v>
      </c>
    </row>
    <row r="3509" spans="1:12" x14ac:dyDescent="0.2">
      <c r="A3509" t="s">
        <v>8463</v>
      </c>
      <c r="B3509" t="s">
        <v>8464</v>
      </c>
      <c r="C3509" t="s">
        <v>202</v>
      </c>
      <c r="E3509" t="s">
        <v>8465</v>
      </c>
      <c r="F3509">
        <v>4922</v>
      </c>
      <c r="G3509" t="s">
        <v>99</v>
      </c>
      <c r="H3509" t="s">
        <v>16</v>
      </c>
      <c r="I3509" t="s">
        <v>2067</v>
      </c>
      <c r="J3509" t="s">
        <v>2068</v>
      </c>
      <c r="K3509" t="s">
        <v>1809</v>
      </c>
      <c r="L3509" t="str">
        <f>HYPERLINK("https://business-monitor.ch/de/companies/974833-xhela-gmbh?utm_source=oberaargau","PROFIL ANSEHEN")</f>
        <v>PROFIL ANSEHEN</v>
      </c>
    </row>
    <row r="3510" spans="1:12" x14ac:dyDescent="0.2">
      <c r="A3510" t="s">
        <v>6392</v>
      </c>
      <c r="B3510" t="s">
        <v>6393</v>
      </c>
      <c r="C3510" t="s">
        <v>202</v>
      </c>
      <c r="E3510" t="s">
        <v>6394</v>
      </c>
      <c r="F3510">
        <v>4900</v>
      </c>
      <c r="G3510" t="s">
        <v>41</v>
      </c>
      <c r="H3510" t="s">
        <v>16</v>
      </c>
      <c r="I3510" t="s">
        <v>1324</v>
      </c>
      <c r="J3510" t="s">
        <v>1325</v>
      </c>
      <c r="K3510" t="s">
        <v>1809</v>
      </c>
      <c r="L3510" t="str">
        <f>HYPERLINK("https://business-monitor.ch/de/companies/294482-martin-oberli-montagen-und-innenausbau-gmbh?utm_source=oberaargau","PROFIL ANSEHEN")</f>
        <v>PROFIL ANSEHEN</v>
      </c>
    </row>
    <row r="3511" spans="1:12" x14ac:dyDescent="0.2">
      <c r="A3511" t="s">
        <v>5973</v>
      </c>
      <c r="B3511" t="s">
        <v>5974</v>
      </c>
      <c r="C3511" t="s">
        <v>1812</v>
      </c>
      <c r="E3511" t="s">
        <v>5975</v>
      </c>
      <c r="F3511">
        <v>4938</v>
      </c>
      <c r="G3511" t="s">
        <v>618</v>
      </c>
      <c r="H3511" t="s">
        <v>16</v>
      </c>
      <c r="I3511" t="s">
        <v>175</v>
      </c>
      <c r="J3511" t="s">
        <v>176</v>
      </c>
      <c r="K3511" t="s">
        <v>1809</v>
      </c>
      <c r="L3511" t="str">
        <f>HYPERLINK("https://business-monitor.ch/de/companies/459752-carrosserie-studer?utm_source=oberaargau","PROFIL ANSEHEN")</f>
        <v>PROFIL ANSEHEN</v>
      </c>
    </row>
    <row r="3512" spans="1:12" x14ac:dyDescent="0.2">
      <c r="A3512" t="s">
        <v>2972</v>
      </c>
      <c r="B3512" t="s">
        <v>2973</v>
      </c>
      <c r="C3512" t="s">
        <v>1812</v>
      </c>
      <c r="F3512">
        <v>4934</v>
      </c>
      <c r="G3512" t="s">
        <v>670</v>
      </c>
      <c r="H3512" t="s">
        <v>16</v>
      </c>
      <c r="I3512" t="s">
        <v>1889</v>
      </c>
      <c r="J3512" t="s">
        <v>1890</v>
      </c>
      <c r="K3512" t="s">
        <v>1809</v>
      </c>
      <c r="L3512" t="str">
        <f>HYPERLINK("https://business-monitor.ch/de/companies/365673-rg-kleintrasport-kurier-expressdienste-greub?utm_source=oberaargau","PROFIL ANSEHEN")</f>
        <v>PROFIL ANSEHEN</v>
      </c>
    </row>
    <row r="3513" spans="1:12" x14ac:dyDescent="0.2">
      <c r="A3513" t="s">
        <v>3920</v>
      </c>
      <c r="B3513" t="s">
        <v>3921</v>
      </c>
      <c r="C3513" t="s">
        <v>2178</v>
      </c>
      <c r="E3513" t="s">
        <v>3922</v>
      </c>
      <c r="F3513">
        <v>4537</v>
      </c>
      <c r="G3513" t="s">
        <v>113</v>
      </c>
      <c r="H3513" t="s">
        <v>16</v>
      </c>
      <c r="I3513" t="s">
        <v>955</v>
      </c>
      <c r="J3513" t="s">
        <v>956</v>
      </c>
      <c r="K3513" t="s">
        <v>1809</v>
      </c>
      <c r="L3513" t="str">
        <f>HYPERLINK("https://business-monitor.ch/de/companies/676852-iso-center-ag-zweigniederlassung-wiedlisbach?utm_source=oberaargau","PROFIL ANSEHEN")</f>
        <v>PROFIL ANSEHEN</v>
      </c>
    </row>
    <row r="3514" spans="1:12" x14ac:dyDescent="0.2">
      <c r="A3514" t="s">
        <v>13158</v>
      </c>
      <c r="B3514" t="s">
        <v>13159</v>
      </c>
      <c r="C3514" t="s">
        <v>202</v>
      </c>
      <c r="E3514" t="s">
        <v>5219</v>
      </c>
      <c r="F3514">
        <v>4900</v>
      </c>
      <c r="G3514" t="s">
        <v>41</v>
      </c>
      <c r="H3514" t="s">
        <v>16</v>
      </c>
      <c r="I3514" t="s">
        <v>1818</v>
      </c>
      <c r="J3514" t="s">
        <v>1819</v>
      </c>
      <c r="K3514" t="s">
        <v>1809</v>
      </c>
      <c r="L3514" t="str">
        <f>HYPERLINK("https://business-monitor.ch/de/companies/1138893-fg-life-innovation-gmbh?utm_source=oberaargau","PROFIL ANSEHEN")</f>
        <v>PROFIL ANSEHEN</v>
      </c>
    </row>
    <row r="3515" spans="1:12" x14ac:dyDescent="0.2">
      <c r="A3515" t="s">
        <v>11480</v>
      </c>
      <c r="B3515" t="s">
        <v>11481</v>
      </c>
      <c r="C3515" t="s">
        <v>202</v>
      </c>
      <c r="E3515" t="s">
        <v>7229</v>
      </c>
      <c r="F3515">
        <v>4537</v>
      </c>
      <c r="G3515" t="s">
        <v>113</v>
      </c>
      <c r="H3515" t="s">
        <v>16</v>
      </c>
      <c r="I3515" t="s">
        <v>464</v>
      </c>
      <c r="J3515" t="s">
        <v>465</v>
      </c>
      <c r="K3515" t="s">
        <v>1809</v>
      </c>
      <c r="L3515" t="str">
        <f>HYPERLINK("https://business-monitor.ch/de/companies/1140927-stop-go-transport-gmbh?utm_source=oberaargau","PROFIL ANSEHEN")</f>
        <v>PROFIL ANSEHEN</v>
      </c>
    </row>
    <row r="3516" spans="1:12" x14ac:dyDescent="0.2">
      <c r="A3516" t="s">
        <v>2905</v>
      </c>
      <c r="B3516" t="s">
        <v>12366</v>
      </c>
      <c r="C3516" t="s">
        <v>202</v>
      </c>
      <c r="E3516" t="s">
        <v>2906</v>
      </c>
      <c r="F3516">
        <v>4937</v>
      </c>
      <c r="G3516" t="s">
        <v>951</v>
      </c>
      <c r="H3516" t="s">
        <v>16</v>
      </c>
      <c r="I3516" t="s">
        <v>260</v>
      </c>
      <c r="J3516" t="s">
        <v>261</v>
      </c>
      <c r="K3516" t="s">
        <v>1809</v>
      </c>
      <c r="L3516" t="str">
        <f>HYPERLINK("https://business-monitor.ch/de/companies/394699-weber-haustechnik-gmbh?utm_source=oberaargau","PROFIL ANSEHEN")</f>
        <v>PROFIL ANSEHEN</v>
      </c>
    </row>
    <row r="3517" spans="1:12" x14ac:dyDescent="0.2">
      <c r="A3517" t="s">
        <v>1259</v>
      </c>
      <c r="B3517" t="s">
        <v>1260</v>
      </c>
      <c r="C3517" t="s">
        <v>13</v>
      </c>
      <c r="E3517" t="s">
        <v>1261</v>
      </c>
      <c r="F3517">
        <v>3380</v>
      </c>
      <c r="G3517" t="s">
        <v>29</v>
      </c>
      <c r="H3517" t="s">
        <v>16</v>
      </c>
      <c r="I3517" t="s">
        <v>1262</v>
      </c>
      <c r="J3517" t="s">
        <v>1263</v>
      </c>
      <c r="K3517" t="s">
        <v>1809</v>
      </c>
      <c r="L3517" t="str">
        <f>HYPERLINK("https://business-monitor.ch/de/companies/71191-r-schweizer-cie-ag?utm_source=oberaargau","PROFIL ANSEHEN")</f>
        <v>PROFIL ANSEHEN</v>
      </c>
    </row>
    <row r="3518" spans="1:12" x14ac:dyDescent="0.2">
      <c r="A3518" t="s">
        <v>12831</v>
      </c>
      <c r="B3518" t="s">
        <v>12832</v>
      </c>
      <c r="C3518" t="s">
        <v>202</v>
      </c>
      <c r="E3518" t="s">
        <v>559</v>
      </c>
      <c r="F3518">
        <v>4900</v>
      </c>
      <c r="G3518" t="s">
        <v>41</v>
      </c>
      <c r="H3518" t="s">
        <v>16</v>
      </c>
      <c r="I3518" t="s">
        <v>824</v>
      </c>
      <c r="J3518" t="s">
        <v>825</v>
      </c>
      <c r="K3518" t="s">
        <v>1809</v>
      </c>
      <c r="L3518" t="str">
        <f>HYPERLINK("https://business-monitor.ch/de/companies/728242-gasthof-baeren-verwaltungs-gmbh?utm_source=oberaargau","PROFIL ANSEHEN")</f>
        <v>PROFIL ANSEHEN</v>
      </c>
    </row>
    <row r="3519" spans="1:12" x14ac:dyDescent="0.2">
      <c r="A3519" t="s">
        <v>4268</v>
      </c>
      <c r="B3519" t="s">
        <v>4269</v>
      </c>
      <c r="C3519" t="s">
        <v>202</v>
      </c>
      <c r="E3519" t="s">
        <v>4270</v>
      </c>
      <c r="F3519">
        <v>4900</v>
      </c>
      <c r="G3519" t="s">
        <v>41</v>
      </c>
      <c r="H3519" t="s">
        <v>16</v>
      </c>
      <c r="I3519" t="s">
        <v>12654</v>
      </c>
      <c r="J3519" t="s">
        <v>12655</v>
      </c>
      <c r="K3519" t="s">
        <v>1809</v>
      </c>
      <c r="L3519" t="str">
        <f>HYPERLINK("https://business-monitor.ch/de/companies/981959-premium-ha-gmbh?utm_source=oberaargau","PROFIL ANSEHEN")</f>
        <v>PROFIL ANSEHEN</v>
      </c>
    </row>
    <row r="3520" spans="1:12" x14ac:dyDescent="0.2">
      <c r="A3520" t="s">
        <v>477</v>
      </c>
      <c r="B3520" t="s">
        <v>478</v>
      </c>
      <c r="C3520" t="s">
        <v>13</v>
      </c>
      <c r="E3520" t="s">
        <v>479</v>
      </c>
      <c r="F3520">
        <v>4900</v>
      </c>
      <c r="G3520" t="s">
        <v>41</v>
      </c>
      <c r="H3520" t="s">
        <v>16</v>
      </c>
      <c r="I3520" t="s">
        <v>77</v>
      </c>
      <c r="J3520" t="s">
        <v>78</v>
      </c>
      <c r="K3520" t="s">
        <v>1809</v>
      </c>
      <c r="L3520" t="str">
        <f>HYPERLINK("https://business-monitor.ch/de/companies/111897-arbe-generalunternehmung-ag?utm_source=oberaargau","PROFIL ANSEHEN")</f>
        <v>PROFIL ANSEHEN</v>
      </c>
    </row>
    <row r="3521" spans="1:12" x14ac:dyDescent="0.2">
      <c r="A3521" t="s">
        <v>11513</v>
      </c>
      <c r="B3521" t="s">
        <v>11514</v>
      </c>
      <c r="C3521" t="s">
        <v>1812</v>
      </c>
      <c r="E3521" t="s">
        <v>5279</v>
      </c>
      <c r="F3521">
        <v>4912</v>
      </c>
      <c r="G3521" t="s">
        <v>64</v>
      </c>
      <c r="H3521" t="s">
        <v>16</v>
      </c>
      <c r="I3521" t="s">
        <v>2050</v>
      </c>
      <c r="J3521" t="s">
        <v>2051</v>
      </c>
      <c r="K3521" t="s">
        <v>1809</v>
      </c>
      <c r="L3521" t="str">
        <f>HYPERLINK("https://business-monitor.ch/de/companies/1145458-organizedog-rukavina?utm_source=oberaargau","PROFIL ANSEHEN")</f>
        <v>PROFIL ANSEHEN</v>
      </c>
    </row>
    <row r="3522" spans="1:12" x14ac:dyDescent="0.2">
      <c r="A3522" t="s">
        <v>9517</v>
      </c>
      <c r="B3522" t="s">
        <v>9518</v>
      </c>
      <c r="C3522" t="s">
        <v>13</v>
      </c>
      <c r="E3522" t="s">
        <v>9519</v>
      </c>
      <c r="F3522">
        <v>3365</v>
      </c>
      <c r="G3522" t="s">
        <v>1008</v>
      </c>
      <c r="H3522" t="s">
        <v>16</v>
      </c>
      <c r="I3522" t="s">
        <v>624</v>
      </c>
      <c r="J3522" t="s">
        <v>625</v>
      </c>
      <c r="K3522" t="s">
        <v>1809</v>
      </c>
      <c r="L3522" t="str">
        <f>HYPERLINK("https://business-monitor.ch/de/companies/935676-holzbau-riesen-ag-grasswil?utm_source=oberaargau","PROFIL ANSEHEN")</f>
        <v>PROFIL ANSEHEN</v>
      </c>
    </row>
    <row r="3523" spans="1:12" x14ac:dyDescent="0.2">
      <c r="A3523" t="s">
        <v>11075</v>
      </c>
      <c r="B3523" t="s">
        <v>11076</v>
      </c>
      <c r="C3523" t="s">
        <v>1812</v>
      </c>
      <c r="E3523" t="s">
        <v>8558</v>
      </c>
      <c r="F3523">
        <v>4950</v>
      </c>
      <c r="G3523" t="s">
        <v>15</v>
      </c>
      <c r="H3523" t="s">
        <v>16</v>
      </c>
      <c r="I3523" t="s">
        <v>2587</v>
      </c>
      <c r="J3523" t="s">
        <v>2588</v>
      </c>
      <c r="K3523" t="s">
        <v>1809</v>
      </c>
      <c r="L3523" t="str">
        <f>HYPERLINK("https://business-monitor.ch/de/companies/1113066-vogel-s-dienstleistungen?utm_source=oberaargau","PROFIL ANSEHEN")</f>
        <v>PROFIL ANSEHEN</v>
      </c>
    </row>
    <row r="3524" spans="1:12" x14ac:dyDescent="0.2">
      <c r="A3524" t="s">
        <v>6320</v>
      </c>
      <c r="B3524" t="s">
        <v>6321</v>
      </c>
      <c r="C3524" t="s">
        <v>202</v>
      </c>
      <c r="E3524" t="s">
        <v>6322</v>
      </c>
      <c r="F3524">
        <v>4704</v>
      </c>
      <c r="G3524" t="s">
        <v>221</v>
      </c>
      <c r="H3524" t="s">
        <v>16</v>
      </c>
      <c r="I3524" t="s">
        <v>167</v>
      </c>
      <c r="J3524" t="s">
        <v>168</v>
      </c>
      <c r="K3524" t="s">
        <v>1809</v>
      </c>
      <c r="L3524" t="str">
        <f>HYPERLINK("https://business-monitor.ch/de/companies/328772-egger-bau-gmbh?utm_source=oberaargau","PROFIL ANSEHEN")</f>
        <v>PROFIL ANSEHEN</v>
      </c>
    </row>
    <row r="3525" spans="1:12" x14ac:dyDescent="0.2">
      <c r="A3525" t="s">
        <v>13879</v>
      </c>
      <c r="B3525" t="s">
        <v>13880</v>
      </c>
      <c r="C3525" t="s">
        <v>1812</v>
      </c>
      <c r="E3525" t="s">
        <v>12177</v>
      </c>
      <c r="F3525">
        <v>3380</v>
      </c>
      <c r="G3525" t="s">
        <v>29</v>
      </c>
      <c r="H3525" t="s">
        <v>16</v>
      </c>
      <c r="I3525" t="s">
        <v>551</v>
      </c>
      <c r="J3525" t="s">
        <v>552</v>
      </c>
      <c r="K3525" t="s">
        <v>1809</v>
      </c>
      <c r="L3525" t="str">
        <f>HYPERLINK("https://business-monitor.ch/de/companies/1281196-mf-wernke-solutions?utm_source=oberaargau","PROFIL ANSEHEN")</f>
        <v>PROFIL ANSEHEN</v>
      </c>
    </row>
    <row r="3526" spans="1:12" x14ac:dyDescent="0.2">
      <c r="A3526" t="s">
        <v>5759</v>
      </c>
      <c r="B3526" t="s">
        <v>5760</v>
      </c>
      <c r="C3526" t="s">
        <v>202</v>
      </c>
      <c r="E3526" t="s">
        <v>2066</v>
      </c>
      <c r="F3526">
        <v>4900</v>
      </c>
      <c r="G3526" t="s">
        <v>41</v>
      </c>
      <c r="H3526" t="s">
        <v>16</v>
      </c>
      <c r="I3526" t="s">
        <v>260</v>
      </c>
      <c r="J3526" t="s">
        <v>261</v>
      </c>
      <c r="K3526" t="s">
        <v>1809</v>
      </c>
      <c r="L3526" t="str">
        <f>HYPERLINK("https://business-monitor.ch/de/companies/520133-grossenbacher-immobilien-beratung-gmbh?utm_source=oberaargau","PROFIL ANSEHEN")</f>
        <v>PROFIL ANSEHEN</v>
      </c>
    </row>
    <row r="3527" spans="1:12" x14ac:dyDescent="0.2">
      <c r="A3527" t="s">
        <v>11043</v>
      </c>
      <c r="B3527" t="s">
        <v>11044</v>
      </c>
      <c r="C3527" t="s">
        <v>202</v>
      </c>
      <c r="E3527" t="s">
        <v>11045</v>
      </c>
      <c r="F3527">
        <v>4937</v>
      </c>
      <c r="G3527" t="s">
        <v>951</v>
      </c>
      <c r="H3527" t="s">
        <v>16</v>
      </c>
      <c r="I3527" t="s">
        <v>153</v>
      </c>
      <c r="J3527" t="s">
        <v>154</v>
      </c>
      <c r="K3527" t="s">
        <v>1809</v>
      </c>
      <c r="L3527" t="str">
        <f>HYPERLINK("https://business-monitor.ch/de/companies/1119454-zulauf-solution-gmbh?utm_source=oberaargau","PROFIL ANSEHEN")</f>
        <v>PROFIL ANSEHEN</v>
      </c>
    </row>
    <row r="3528" spans="1:12" x14ac:dyDescent="0.2">
      <c r="A3528" t="s">
        <v>7120</v>
      </c>
      <c r="B3528" t="s">
        <v>7121</v>
      </c>
      <c r="C3528" t="s">
        <v>1812</v>
      </c>
      <c r="E3528" t="s">
        <v>7122</v>
      </c>
      <c r="F3528">
        <v>4952</v>
      </c>
      <c r="G3528" t="s">
        <v>474</v>
      </c>
      <c r="H3528" t="s">
        <v>16</v>
      </c>
      <c r="I3528" t="s">
        <v>1855</v>
      </c>
      <c r="J3528" t="s">
        <v>1856</v>
      </c>
      <c r="K3528" t="s">
        <v>1809</v>
      </c>
      <c r="L3528" t="str">
        <f>HYPERLINK("https://business-monitor.ch/de/companies/726116-pk-fuhrer?utm_source=oberaargau","PROFIL ANSEHEN")</f>
        <v>PROFIL ANSEHEN</v>
      </c>
    </row>
    <row r="3529" spans="1:12" x14ac:dyDescent="0.2">
      <c r="A3529" t="s">
        <v>7665</v>
      </c>
      <c r="B3529" t="s">
        <v>7666</v>
      </c>
      <c r="C3529" t="s">
        <v>202</v>
      </c>
      <c r="E3529" t="s">
        <v>678</v>
      </c>
      <c r="F3529">
        <v>3360</v>
      </c>
      <c r="G3529" t="s">
        <v>35</v>
      </c>
      <c r="H3529" t="s">
        <v>16</v>
      </c>
      <c r="I3529" t="s">
        <v>642</v>
      </c>
      <c r="J3529" t="s">
        <v>643</v>
      </c>
      <c r="K3529" t="s">
        <v>1809</v>
      </c>
      <c r="L3529" t="str">
        <f>HYPERLINK("https://business-monitor.ch/de/companies/628062-boat-carness-gmbh?utm_source=oberaargau","PROFIL ANSEHEN")</f>
        <v>PROFIL ANSEHEN</v>
      </c>
    </row>
    <row r="3530" spans="1:12" x14ac:dyDescent="0.2">
      <c r="A3530" t="s">
        <v>5102</v>
      </c>
      <c r="B3530" t="s">
        <v>5103</v>
      </c>
      <c r="C3530" t="s">
        <v>1812</v>
      </c>
      <c r="E3530" t="s">
        <v>4545</v>
      </c>
      <c r="F3530">
        <v>4912</v>
      </c>
      <c r="G3530" t="s">
        <v>64</v>
      </c>
      <c r="H3530" t="s">
        <v>16</v>
      </c>
      <c r="I3530" t="s">
        <v>662</v>
      </c>
      <c r="J3530" t="s">
        <v>663</v>
      </c>
      <c r="K3530" t="s">
        <v>1809</v>
      </c>
      <c r="L3530" t="str">
        <f>HYPERLINK("https://business-monitor.ch/de/companies/482677-peter-egger-ch?utm_source=oberaargau","PROFIL ANSEHEN")</f>
        <v>PROFIL ANSEHEN</v>
      </c>
    </row>
    <row r="3531" spans="1:12" x14ac:dyDescent="0.2">
      <c r="A3531" t="s">
        <v>2349</v>
      </c>
      <c r="B3531" t="s">
        <v>8175</v>
      </c>
      <c r="C3531" t="s">
        <v>1812</v>
      </c>
      <c r="E3531" t="s">
        <v>8176</v>
      </c>
      <c r="F3531">
        <v>3360</v>
      </c>
      <c r="G3531" t="s">
        <v>8177</v>
      </c>
      <c r="H3531" t="s">
        <v>16</v>
      </c>
      <c r="I3531" t="s">
        <v>913</v>
      </c>
      <c r="J3531" t="s">
        <v>914</v>
      </c>
      <c r="K3531" t="s">
        <v>1809</v>
      </c>
      <c r="L3531" t="str">
        <f>HYPERLINK("https://business-monitor.ch/de/companies/173758-r-wuethrich-iff-migrol-tankstelle?utm_source=oberaargau","PROFIL ANSEHEN")</f>
        <v>PROFIL ANSEHEN</v>
      </c>
    </row>
    <row r="3532" spans="1:12" x14ac:dyDescent="0.2">
      <c r="A3532" t="s">
        <v>14577</v>
      </c>
      <c r="B3532" t="s">
        <v>14578</v>
      </c>
      <c r="C3532" t="s">
        <v>1812</v>
      </c>
      <c r="E3532" t="s">
        <v>4162</v>
      </c>
      <c r="F3532">
        <v>4955</v>
      </c>
      <c r="G3532" t="s">
        <v>684</v>
      </c>
      <c r="H3532" t="s">
        <v>16</v>
      </c>
      <c r="I3532" t="s">
        <v>1097</v>
      </c>
      <c r="J3532" t="s">
        <v>1098</v>
      </c>
      <c r="K3532" t="s">
        <v>1809</v>
      </c>
      <c r="L3532" t="str">
        <f>HYPERLINK("https://business-monitor.ch/de/companies/1306404-greminger-digital?utm_source=oberaargau","PROFIL ANSEHEN")</f>
        <v>PROFIL ANSEHEN</v>
      </c>
    </row>
    <row r="3533" spans="1:12" x14ac:dyDescent="0.2">
      <c r="A3533" t="s">
        <v>8990</v>
      </c>
      <c r="B3533" t="s">
        <v>8991</v>
      </c>
      <c r="C3533" t="s">
        <v>202</v>
      </c>
      <c r="E3533" t="s">
        <v>13353</v>
      </c>
      <c r="F3533">
        <v>4900</v>
      </c>
      <c r="G3533" t="s">
        <v>41</v>
      </c>
      <c r="H3533" t="s">
        <v>16</v>
      </c>
      <c r="I3533" t="s">
        <v>232</v>
      </c>
      <c r="J3533" t="s">
        <v>233</v>
      </c>
      <c r="K3533" t="s">
        <v>1809</v>
      </c>
      <c r="L3533" t="str">
        <f>HYPERLINK("https://business-monitor.ch/de/companies/242811-thg-treuhand-gmbh?utm_source=oberaargau","PROFIL ANSEHEN")</f>
        <v>PROFIL ANSEHEN</v>
      </c>
    </row>
    <row r="3534" spans="1:12" x14ac:dyDescent="0.2">
      <c r="A3534" t="s">
        <v>14579</v>
      </c>
      <c r="B3534" t="s">
        <v>14580</v>
      </c>
      <c r="C3534" t="s">
        <v>202</v>
      </c>
      <c r="E3534" t="s">
        <v>8001</v>
      </c>
      <c r="F3534">
        <v>3360</v>
      </c>
      <c r="G3534" t="s">
        <v>35</v>
      </c>
      <c r="H3534" t="s">
        <v>16</v>
      </c>
      <c r="I3534" t="s">
        <v>1855</v>
      </c>
      <c r="J3534" t="s">
        <v>1856</v>
      </c>
      <c r="K3534" t="s">
        <v>1809</v>
      </c>
      <c r="L3534" t="str">
        <f>HYPERLINK("https://business-monitor.ch/de/companies/1306479-podologie-zuercher-gmbh?utm_source=oberaargau","PROFIL ANSEHEN")</f>
        <v>PROFIL ANSEHEN</v>
      </c>
    </row>
    <row r="3535" spans="1:12" x14ac:dyDescent="0.2">
      <c r="A3535" t="s">
        <v>11275</v>
      </c>
      <c r="B3535" t="s">
        <v>11276</v>
      </c>
      <c r="C3535" t="s">
        <v>1812</v>
      </c>
      <c r="E3535" t="s">
        <v>11277</v>
      </c>
      <c r="F3535">
        <v>4912</v>
      </c>
      <c r="G3535" t="s">
        <v>64</v>
      </c>
      <c r="H3535" t="s">
        <v>16</v>
      </c>
      <c r="I3535" t="s">
        <v>570</v>
      </c>
      <c r="J3535" t="s">
        <v>571</v>
      </c>
      <c r="K3535" t="s">
        <v>1809</v>
      </c>
      <c r="L3535" t="str">
        <f>HYPERLINK("https://business-monitor.ch/de/companies/1133345-krekora-luft-klima-technik?utm_source=oberaargau","PROFIL ANSEHEN")</f>
        <v>PROFIL ANSEHEN</v>
      </c>
    </row>
    <row r="3536" spans="1:12" x14ac:dyDescent="0.2">
      <c r="A3536" t="s">
        <v>14581</v>
      </c>
      <c r="B3536" t="s">
        <v>14582</v>
      </c>
      <c r="C3536" t="s">
        <v>1812</v>
      </c>
      <c r="E3536" t="s">
        <v>7043</v>
      </c>
      <c r="F3536">
        <v>4911</v>
      </c>
      <c r="G3536" t="s">
        <v>1005</v>
      </c>
      <c r="H3536" t="s">
        <v>16</v>
      </c>
      <c r="I3536" t="s">
        <v>824</v>
      </c>
      <c r="J3536" t="s">
        <v>825</v>
      </c>
      <c r="K3536" t="s">
        <v>1809</v>
      </c>
      <c r="L3536" t="str">
        <f>HYPERLINK("https://business-monitor.ch/de/companies/1306529-restaurant-grossweier-santucci?utm_source=oberaargau","PROFIL ANSEHEN")</f>
        <v>PROFIL ANSEHEN</v>
      </c>
    </row>
    <row r="3537" spans="1:12" x14ac:dyDescent="0.2">
      <c r="A3537" t="s">
        <v>11365</v>
      </c>
      <c r="B3537" t="s">
        <v>11366</v>
      </c>
      <c r="C3537" t="s">
        <v>202</v>
      </c>
      <c r="D3537" t="s">
        <v>11367</v>
      </c>
      <c r="E3537" t="s">
        <v>11368</v>
      </c>
      <c r="F3537">
        <v>4537</v>
      </c>
      <c r="G3537" t="s">
        <v>113</v>
      </c>
      <c r="H3537" t="s">
        <v>16</v>
      </c>
      <c r="I3537" t="s">
        <v>260</v>
      </c>
      <c r="J3537" t="s">
        <v>261</v>
      </c>
      <c r="K3537" t="s">
        <v>1809</v>
      </c>
      <c r="L3537" t="str">
        <f>HYPERLINK("https://business-monitor.ch/de/companies/1137156-roth-gruner-gmbh?utm_source=oberaargau","PROFIL ANSEHEN")</f>
        <v>PROFIL ANSEHEN</v>
      </c>
    </row>
    <row r="3538" spans="1:12" x14ac:dyDescent="0.2">
      <c r="A3538" t="s">
        <v>9669</v>
      </c>
      <c r="B3538" t="s">
        <v>9670</v>
      </c>
      <c r="C3538" t="s">
        <v>202</v>
      </c>
      <c r="E3538" t="s">
        <v>9671</v>
      </c>
      <c r="F3538">
        <v>4704</v>
      </c>
      <c r="G3538" t="s">
        <v>221</v>
      </c>
      <c r="H3538" t="s">
        <v>16</v>
      </c>
      <c r="I3538" t="s">
        <v>6550</v>
      </c>
      <c r="J3538" t="s">
        <v>6551</v>
      </c>
      <c r="K3538" t="s">
        <v>1809</v>
      </c>
      <c r="L3538" t="str">
        <f>HYPERLINK("https://business-monitor.ch/de/companies/579624-born-brunnhof-gmbh?utm_source=oberaargau","PROFIL ANSEHEN")</f>
        <v>PROFIL ANSEHEN</v>
      </c>
    </row>
    <row r="3539" spans="1:12" x14ac:dyDescent="0.2">
      <c r="A3539" t="s">
        <v>10628</v>
      </c>
      <c r="B3539" t="s">
        <v>10629</v>
      </c>
      <c r="C3539" t="s">
        <v>1812</v>
      </c>
      <c r="E3539" t="s">
        <v>1357</v>
      </c>
      <c r="F3539">
        <v>4900</v>
      </c>
      <c r="G3539" t="s">
        <v>41</v>
      </c>
      <c r="H3539" t="s">
        <v>16</v>
      </c>
      <c r="I3539" t="s">
        <v>1981</v>
      </c>
      <c r="J3539" t="s">
        <v>1982</v>
      </c>
      <c r="K3539" t="s">
        <v>1809</v>
      </c>
      <c r="L3539" t="str">
        <f>HYPERLINK("https://business-monitor.ch/de/companies/170859-preiss?utm_source=oberaargau","PROFIL ANSEHEN")</f>
        <v>PROFIL ANSEHEN</v>
      </c>
    </row>
    <row r="3540" spans="1:12" x14ac:dyDescent="0.2">
      <c r="A3540" t="s">
        <v>6502</v>
      </c>
      <c r="B3540" t="s">
        <v>6503</v>
      </c>
      <c r="C3540" t="s">
        <v>13</v>
      </c>
      <c r="E3540" t="s">
        <v>6504</v>
      </c>
      <c r="F3540">
        <v>4917</v>
      </c>
      <c r="G3540" t="s">
        <v>376</v>
      </c>
      <c r="H3540" t="s">
        <v>16</v>
      </c>
      <c r="I3540" t="s">
        <v>824</v>
      </c>
      <c r="J3540" t="s">
        <v>825</v>
      </c>
      <c r="K3540" t="s">
        <v>1809</v>
      </c>
      <c r="L3540" t="str">
        <f>HYPERLINK("https://business-monitor.ch/de/companies/245197-buffetto-ag?utm_source=oberaargau","PROFIL ANSEHEN")</f>
        <v>PROFIL ANSEHEN</v>
      </c>
    </row>
    <row r="3541" spans="1:12" x14ac:dyDescent="0.2">
      <c r="A3541" t="s">
        <v>6608</v>
      </c>
      <c r="B3541" t="s">
        <v>8153</v>
      </c>
      <c r="C3541" t="s">
        <v>202</v>
      </c>
      <c r="E3541" t="s">
        <v>8154</v>
      </c>
      <c r="F3541">
        <v>3375</v>
      </c>
      <c r="G3541" t="s">
        <v>667</v>
      </c>
      <c r="H3541" t="s">
        <v>16</v>
      </c>
      <c r="I3541" t="s">
        <v>153</v>
      </c>
      <c r="J3541" t="s">
        <v>154</v>
      </c>
      <c r="K3541" t="s">
        <v>1809</v>
      </c>
      <c r="L3541" t="str">
        <f>HYPERLINK("https://business-monitor.ch/de/companies/180828-debrunner-engineering-gmbh?utm_source=oberaargau","PROFIL ANSEHEN")</f>
        <v>PROFIL ANSEHEN</v>
      </c>
    </row>
    <row r="3542" spans="1:12" x14ac:dyDescent="0.2">
      <c r="A3542" t="s">
        <v>3546</v>
      </c>
      <c r="B3542" t="s">
        <v>3547</v>
      </c>
      <c r="C3542" t="s">
        <v>1812</v>
      </c>
      <c r="E3542" t="s">
        <v>2274</v>
      </c>
      <c r="F3542">
        <v>4536</v>
      </c>
      <c r="G3542" t="s">
        <v>1395</v>
      </c>
      <c r="H3542" t="s">
        <v>16</v>
      </c>
      <c r="I3542" t="s">
        <v>2050</v>
      </c>
      <c r="J3542" t="s">
        <v>2051</v>
      </c>
      <c r="K3542" t="s">
        <v>1809</v>
      </c>
      <c r="L3542" t="str">
        <f>HYPERLINK("https://business-monitor.ch/de/companies/132954-attilum-g-emch-nachf-m-roth?utm_source=oberaargau","PROFIL ANSEHEN")</f>
        <v>PROFIL ANSEHEN</v>
      </c>
    </row>
    <row r="3543" spans="1:12" x14ac:dyDescent="0.2">
      <c r="A3543" t="s">
        <v>9136</v>
      </c>
      <c r="B3543" t="s">
        <v>9137</v>
      </c>
      <c r="C3543" t="s">
        <v>13</v>
      </c>
      <c r="E3543" t="s">
        <v>9138</v>
      </c>
      <c r="F3543">
        <v>4922</v>
      </c>
      <c r="G3543" t="s">
        <v>99</v>
      </c>
      <c r="H3543" t="s">
        <v>16</v>
      </c>
      <c r="I3543" t="s">
        <v>2231</v>
      </c>
      <c r="J3543" t="s">
        <v>2232</v>
      </c>
      <c r="K3543" t="s">
        <v>1809</v>
      </c>
      <c r="L3543" t="str">
        <f>HYPERLINK("https://business-monitor.ch/de/companies/171644-fluer-dubian-ag?utm_source=oberaargau","PROFIL ANSEHEN")</f>
        <v>PROFIL ANSEHEN</v>
      </c>
    </row>
    <row r="3544" spans="1:12" x14ac:dyDescent="0.2">
      <c r="A3544" t="s">
        <v>14583</v>
      </c>
      <c r="B3544" t="s">
        <v>14584</v>
      </c>
      <c r="C3544" t="s">
        <v>1812</v>
      </c>
      <c r="E3544" t="s">
        <v>14585</v>
      </c>
      <c r="F3544">
        <v>3380</v>
      </c>
      <c r="G3544" t="s">
        <v>29</v>
      </c>
      <c r="H3544" t="s">
        <v>16</v>
      </c>
      <c r="I3544" t="s">
        <v>1860</v>
      </c>
      <c r="J3544" t="s">
        <v>1861</v>
      </c>
      <c r="K3544" t="s">
        <v>1809</v>
      </c>
      <c r="L3544" t="str">
        <f>HYPERLINK("https://business-monitor.ch/de/companies/1304528-soraya-stoecklin-chateaubriand-costa-coiffeur-salon?utm_source=oberaargau","PROFIL ANSEHEN")</f>
        <v>PROFIL ANSEHEN</v>
      </c>
    </row>
    <row r="3545" spans="1:12" x14ac:dyDescent="0.2">
      <c r="A3545" t="s">
        <v>8612</v>
      </c>
      <c r="B3545" t="s">
        <v>8613</v>
      </c>
      <c r="C3545" t="s">
        <v>202</v>
      </c>
      <c r="E3545" t="s">
        <v>8614</v>
      </c>
      <c r="F3545">
        <v>3360</v>
      </c>
      <c r="G3545" t="s">
        <v>35</v>
      </c>
      <c r="H3545" t="s">
        <v>16</v>
      </c>
      <c r="I3545" t="s">
        <v>24</v>
      </c>
      <c r="J3545" t="s">
        <v>25</v>
      </c>
      <c r="K3545" t="s">
        <v>1809</v>
      </c>
      <c r="L3545" t="str">
        <f>HYPERLINK("https://business-monitor.ch/de/companies/457681-msvit-consulting-gmbh?utm_source=oberaargau","PROFIL ANSEHEN")</f>
        <v>PROFIL ANSEHEN</v>
      </c>
    </row>
    <row r="3546" spans="1:12" x14ac:dyDescent="0.2">
      <c r="A3546" t="s">
        <v>13345</v>
      </c>
      <c r="B3546" t="s">
        <v>13346</v>
      </c>
      <c r="C3546" t="s">
        <v>13</v>
      </c>
      <c r="E3546" t="s">
        <v>9326</v>
      </c>
      <c r="F3546">
        <v>4537</v>
      </c>
      <c r="G3546" t="s">
        <v>113</v>
      </c>
      <c r="H3546" t="s">
        <v>16</v>
      </c>
      <c r="I3546" t="s">
        <v>13347</v>
      </c>
      <c r="J3546" t="s">
        <v>13348</v>
      </c>
      <c r="K3546" t="s">
        <v>1809</v>
      </c>
      <c r="L3546" t="str">
        <f>HYPERLINK("https://business-monitor.ch/de/companies/1242952-adventuretech-ag?utm_source=oberaargau","PROFIL ANSEHEN")</f>
        <v>PROFIL ANSEHEN</v>
      </c>
    </row>
    <row r="3547" spans="1:12" x14ac:dyDescent="0.2">
      <c r="A3547" t="s">
        <v>6014</v>
      </c>
      <c r="B3547" t="s">
        <v>6015</v>
      </c>
      <c r="C3547" t="s">
        <v>202</v>
      </c>
      <c r="E3547" t="s">
        <v>2053</v>
      </c>
      <c r="F3547">
        <v>3374</v>
      </c>
      <c r="G3547" t="s">
        <v>894</v>
      </c>
      <c r="H3547" t="s">
        <v>16</v>
      </c>
      <c r="I3547" t="s">
        <v>464</v>
      </c>
      <c r="J3547" t="s">
        <v>465</v>
      </c>
      <c r="K3547" t="s">
        <v>1809</v>
      </c>
      <c r="L3547" t="str">
        <f>HYPERLINK("https://business-monitor.ch/de/companies/989115-htw-gmbh?utm_source=oberaargau","PROFIL ANSEHEN")</f>
        <v>PROFIL ANSEHEN</v>
      </c>
    </row>
    <row r="3548" spans="1:12" x14ac:dyDescent="0.2">
      <c r="A3548" t="s">
        <v>4955</v>
      </c>
      <c r="B3548" t="s">
        <v>4956</v>
      </c>
      <c r="C3548" t="s">
        <v>1922</v>
      </c>
      <c r="D3548" t="s">
        <v>4957</v>
      </c>
      <c r="E3548" t="s">
        <v>241</v>
      </c>
      <c r="F3548">
        <v>4900</v>
      </c>
      <c r="G3548" t="s">
        <v>41</v>
      </c>
      <c r="H3548" t="s">
        <v>16</v>
      </c>
      <c r="I3548" t="s">
        <v>640</v>
      </c>
      <c r="J3548" t="s">
        <v>641</v>
      </c>
      <c r="K3548" t="s">
        <v>1809</v>
      </c>
      <c r="L3548" t="str">
        <f>HYPERLINK("https://business-monitor.ch/de/companies/232184-stiftung-zur-foerderung-der-berufe-im-gesundheitswesen-im-oberaargau-emmental?utm_source=oberaargau","PROFIL ANSEHEN")</f>
        <v>PROFIL ANSEHEN</v>
      </c>
    </row>
    <row r="3549" spans="1:12" x14ac:dyDescent="0.2">
      <c r="A3549" t="s">
        <v>12309</v>
      </c>
      <c r="B3549" t="s">
        <v>12310</v>
      </c>
      <c r="C3549" t="s">
        <v>1812</v>
      </c>
      <c r="E3549" t="s">
        <v>5420</v>
      </c>
      <c r="F3549">
        <v>3380</v>
      </c>
      <c r="G3549" t="s">
        <v>29</v>
      </c>
      <c r="H3549" t="s">
        <v>16</v>
      </c>
      <c r="I3549" t="s">
        <v>464</v>
      </c>
      <c r="J3549" t="s">
        <v>465</v>
      </c>
      <c r="K3549" t="s">
        <v>1809</v>
      </c>
      <c r="L3549" t="str">
        <f>HYPERLINK("https://business-monitor.ch/de/companies/1201232-gj-transporte-jovic?utm_source=oberaargau","PROFIL ANSEHEN")</f>
        <v>PROFIL ANSEHEN</v>
      </c>
    </row>
    <row r="3550" spans="1:12" x14ac:dyDescent="0.2">
      <c r="A3550" t="s">
        <v>12638</v>
      </c>
      <c r="B3550" t="s">
        <v>12639</v>
      </c>
      <c r="C3550" t="s">
        <v>1812</v>
      </c>
      <c r="E3550" t="s">
        <v>12640</v>
      </c>
      <c r="F3550">
        <v>3363</v>
      </c>
      <c r="G3550" t="s">
        <v>1367</v>
      </c>
      <c r="H3550" t="s">
        <v>16</v>
      </c>
      <c r="I3550" t="s">
        <v>7350</v>
      </c>
      <c r="J3550" t="s">
        <v>7351</v>
      </c>
      <c r="K3550" t="s">
        <v>1809</v>
      </c>
      <c r="L3550" t="str">
        <f>HYPERLINK("https://business-monitor.ch/de/companies/1201903-zuegler-ch-abohanan?utm_source=oberaargau","PROFIL ANSEHEN")</f>
        <v>PROFIL ANSEHEN</v>
      </c>
    </row>
    <row r="3551" spans="1:12" x14ac:dyDescent="0.2">
      <c r="A3551" t="s">
        <v>13519</v>
      </c>
      <c r="B3551" t="s">
        <v>13520</v>
      </c>
      <c r="C3551" t="s">
        <v>1812</v>
      </c>
      <c r="E3551" t="s">
        <v>13521</v>
      </c>
      <c r="F3551">
        <v>4914</v>
      </c>
      <c r="G3551" t="s">
        <v>105</v>
      </c>
      <c r="H3551" t="s">
        <v>16</v>
      </c>
      <c r="I3551" t="s">
        <v>1841</v>
      </c>
      <c r="J3551" t="s">
        <v>1842</v>
      </c>
      <c r="K3551" t="s">
        <v>1809</v>
      </c>
      <c r="L3551" t="str">
        <f>HYPERLINK("https://business-monitor.ch/de/companies/1259027-osteo-medela-inh-katarzyna-olenczak-krystyniak?utm_source=oberaargau","PROFIL ANSEHEN")</f>
        <v>PROFIL ANSEHEN</v>
      </c>
    </row>
    <row r="3552" spans="1:12" x14ac:dyDescent="0.2">
      <c r="A3552" t="s">
        <v>13062</v>
      </c>
      <c r="B3552" t="s">
        <v>13063</v>
      </c>
      <c r="C3552" t="s">
        <v>1812</v>
      </c>
      <c r="E3552" t="s">
        <v>2838</v>
      </c>
      <c r="F3552">
        <v>4900</v>
      </c>
      <c r="G3552" t="s">
        <v>41</v>
      </c>
      <c r="H3552" t="s">
        <v>16</v>
      </c>
      <c r="I3552" t="s">
        <v>824</v>
      </c>
      <c r="J3552" t="s">
        <v>825</v>
      </c>
      <c r="K3552" t="s">
        <v>1809</v>
      </c>
      <c r="L3552" t="str">
        <f>HYPERLINK("https://business-monitor.ch/de/companies/1240007-restaurant-mamma-mia-burun?utm_source=oberaargau","PROFIL ANSEHEN")</f>
        <v>PROFIL ANSEHEN</v>
      </c>
    </row>
    <row r="3553" spans="1:12" x14ac:dyDescent="0.2">
      <c r="A3553" t="s">
        <v>13869</v>
      </c>
      <c r="B3553" t="s">
        <v>13870</v>
      </c>
      <c r="C3553" t="s">
        <v>1812</v>
      </c>
      <c r="E3553" t="s">
        <v>13871</v>
      </c>
      <c r="F3553">
        <v>4914</v>
      </c>
      <c r="G3553" t="s">
        <v>105</v>
      </c>
      <c r="H3553" t="s">
        <v>16</v>
      </c>
      <c r="I3553" t="s">
        <v>167</v>
      </c>
      <c r="J3553" t="s">
        <v>168</v>
      </c>
      <c r="K3553" t="s">
        <v>1809</v>
      </c>
      <c r="L3553" t="str">
        <f>HYPERLINK("https://business-monitor.ch/de/companies/1273458-jasiqi-bau?utm_source=oberaargau","PROFIL ANSEHEN")</f>
        <v>PROFIL ANSEHEN</v>
      </c>
    </row>
    <row r="3554" spans="1:12" x14ac:dyDescent="0.2">
      <c r="A3554" t="s">
        <v>6140</v>
      </c>
      <c r="B3554" t="s">
        <v>6141</v>
      </c>
      <c r="C3554" t="s">
        <v>202</v>
      </c>
      <c r="E3554" t="s">
        <v>6142</v>
      </c>
      <c r="F3554">
        <v>4539</v>
      </c>
      <c r="G3554" t="s">
        <v>1134</v>
      </c>
      <c r="H3554" t="s">
        <v>16</v>
      </c>
      <c r="I3554" t="s">
        <v>1267</v>
      </c>
      <c r="J3554" t="s">
        <v>1268</v>
      </c>
      <c r="K3554" t="s">
        <v>1809</v>
      </c>
      <c r="L3554" t="str">
        <f>HYPERLINK("https://business-monitor.ch/de/companies/396526-iess-gmbh?utm_source=oberaargau","PROFIL ANSEHEN")</f>
        <v>PROFIL ANSEHEN</v>
      </c>
    </row>
    <row r="3555" spans="1:12" x14ac:dyDescent="0.2">
      <c r="A3555" t="s">
        <v>5364</v>
      </c>
      <c r="B3555" t="s">
        <v>5365</v>
      </c>
      <c r="C3555" t="s">
        <v>1812</v>
      </c>
      <c r="E3555" t="s">
        <v>5366</v>
      </c>
      <c r="F3555">
        <v>4938</v>
      </c>
      <c r="G3555" t="s">
        <v>618</v>
      </c>
      <c r="H3555" t="s">
        <v>16</v>
      </c>
      <c r="I3555" t="s">
        <v>1898</v>
      </c>
      <c r="J3555" t="s">
        <v>1899</v>
      </c>
      <c r="K3555" t="s">
        <v>1809</v>
      </c>
      <c r="L3555" t="str">
        <f>HYPERLINK("https://business-monitor.ch/de/companies/383119-baeckerei-konditorei-esther-reinbold-friedli?utm_source=oberaargau","PROFIL ANSEHEN")</f>
        <v>PROFIL ANSEHEN</v>
      </c>
    </row>
    <row r="3556" spans="1:12" x14ac:dyDescent="0.2">
      <c r="A3556" t="s">
        <v>2233</v>
      </c>
      <c r="B3556" t="s">
        <v>2234</v>
      </c>
      <c r="C3556" t="s">
        <v>1812</v>
      </c>
      <c r="E3556" t="s">
        <v>2235</v>
      </c>
      <c r="F3556">
        <v>4900</v>
      </c>
      <c r="G3556" t="s">
        <v>41</v>
      </c>
      <c r="H3556" t="s">
        <v>16</v>
      </c>
      <c r="I3556" t="s">
        <v>232</v>
      </c>
      <c r="J3556" t="s">
        <v>233</v>
      </c>
      <c r="K3556" t="s">
        <v>1809</v>
      </c>
      <c r="L3556" t="str">
        <f>HYPERLINK("https://business-monitor.ch/de/companies/466563-treuhandbuero-ursula-wuethrich?utm_source=oberaargau","PROFIL ANSEHEN")</f>
        <v>PROFIL ANSEHEN</v>
      </c>
    </row>
    <row r="3557" spans="1:12" x14ac:dyDescent="0.2">
      <c r="A3557" t="s">
        <v>5152</v>
      </c>
      <c r="B3557" t="s">
        <v>5153</v>
      </c>
      <c r="C3557" t="s">
        <v>1812</v>
      </c>
      <c r="E3557" t="s">
        <v>12648</v>
      </c>
      <c r="F3557">
        <v>3360</v>
      </c>
      <c r="G3557" t="s">
        <v>35</v>
      </c>
      <c r="H3557" t="s">
        <v>16</v>
      </c>
      <c r="I3557" t="s">
        <v>2293</v>
      </c>
      <c r="J3557" t="s">
        <v>2294</v>
      </c>
      <c r="K3557" t="s">
        <v>1809</v>
      </c>
      <c r="L3557" t="str">
        <f>HYPERLINK("https://business-monitor.ch/de/companies/332063-terrarienbau-adrian-rieser?utm_source=oberaargau","PROFIL ANSEHEN")</f>
        <v>PROFIL ANSEHEN</v>
      </c>
    </row>
    <row r="3558" spans="1:12" x14ac:dyDescent="0.2">
      <c r="A3558" t="s">
        <v>13631</v>
      </c>
      <c r="B3558" t="s">
        <v>13632</v>
      </c>
      <c r="C3558" t="s">
        <v>202</v>
      </c>
      <c r="E3558" t="s">
        <v>13633</v>
      </c>
      <c r="F3558">
        <v>4704</v>
      </c>
      <c r="G3558" t="s">
        <v>221</v>
      </c>
      <c r="H3558" t="s">
        <v>16</v>
      </c>
      <c r="I3558" t="s">
        <v>4105</v>
      </c>
      <c r="J3558" t="s">
        <v>4106</v>
      </c>
      <c r="K3558" t="s">
        <v>1809</v>
      </c>
      <c r="L3558" t="str">
        <f>HYPERLINK("https://business-monitor.ch/de/companies/1256394-nts-events-gmbh?utm_source=oberaargau","PROFIL ANSEHEN")</f>
        <v>PROFIL ANSEHEN</v>
      </c>
    </row>
    <row r="3559" spans="1:12" x14ac:dyDescent="0.2">
      <c r="A3559" t="s">
        <v>9759</v>
      </c>
      <c r="B3559" t="s">
        <v>9760</v>
      </c>
      <c r="C3559" t="s">
        <v>1812</v>
      </c>
      <c r="E3559" t="s">
        <v>9761</v>
      </c>
      <c r="F3559">
        <v>4911</v>
      </c>
      <c r="G3559" t="s">
        <v>1005</v>
      </c>
      <c r="H3559" t="s">
        <v>16</v>
      </c>
      <c r="I3559" t="s">
        <v>1097</v>
      </c>
      <c r="J3559" t="s">
        <v>1098</v>
      </c>
      <c r="K3559" t="s">
        <v>1809</v>
      </c>
      <c r="L3559" t="str">
        <f>HYPERLINK("https://business-monitor.ch/de/companies/1028884-schaad-produkte?utm_source=oberaargau","PROFIL ANSEHEN")</f>
        <v>PROFIL ANSEHEN</v>
      </c>
    </row>
    <row r="3560" spans="1:12" x14ac:dyDescent="0.2">
      <c r="A3560" t="s">
        <v>13095</v>
      </c>
      <c r="B3560" t="s">
        <v>13096</v>
      </c>
      <c r="C3560" t="s">
        <v>202</v>
      </c>
      <c r="E3560" t="s">
        <v>13097</v>
      </c>
      <c r="F3560">
        <v>4537</v>
      </c>
      <c r="G3560" t="s">
        <v>113</v>
      </c>
      <c r="H3560" t="s">
        <v>16</v>
      </c>
      <c r="I3560" t="s">
        <v>824</v>
      </c>
      <c r="J3560" t="s">
        <v>825</v>
      </c>
      <c r="K3560" t="s">
        <v>1809</v>
      </c>
      <c r="L3560" t="str">
        <f>HYPERLINK("https://business-monitor.ch/de/companies/1239238-foodload-gmbh?utm_source=oberaargau","PROFIL ANSEHEN")</f>
        <v>PROFIL ANSEHEN</v>
      </c>
    </row>
    <row r="3561" spans="1:12" x14ac:dyDescent="0.2">
      <c r="A3561" t="s">
        <v>7940</v>
      </c>
      <c r="B3561" t="s">
        <v>7941</v>
      </c>
      <c r="C3561" t="s">
        <v>202</v>
      </c>
      <c r="E3561" t="s">
        <v>473</v>
      </c>
      <c r="F3561">
        <v>4900</v>
      </c>
      <c r="G3561" t="s">
        <v>41</v>
      </c>
      <c r="H3561" t="s">
        <v>16</v>
      </c>
      <c r="I3561" t="s">
        <v>475</v>
      </c>
      <c r="J3561" t="s">
        <v>476</v>
      </c>
      <c r="K3561" t="s">
        <v>1809</v>
      </c>
      <c r="L3561" t="str">
        <f>HYPERLINK("https://business-monitor.ch/de/companies/410451-swiss-green-power-gmbh?utm_source=oberaargau","PROFIL ANSEHEN")</f>
        <v>PROFIL ANSEHEN</v>
      </c>
    </row>
    <row r="3562" spans="1:12" x14ac:dyDescent="0.2">
      <c r="A3562" t="s">
        <v>6706</v>
      </c>
      <c r="B3562" t="s">
        <v>6707</v>
      </c>
      <c r="C3562" t="s">
        <v>13</v>
      </c>
      <c r="E3562" t="s">
        <v>5495</v>
      </c>
      <c r="F3562">
        <v>4900</v>
      </c>
      <c r="G3562" t="s">
        <v>41</v>
      </c>
      <c r="H3562" t="s">
        <v>16</v>
      </c>
      <c r="I3562" t="s">
        <v>845</v>
      </c>
      <c r="J3562" t="s">
        <v>846</v>
      </c>
      <c r="K3562" t="s">
        <v>1809</v>
      </c>
      <c r="L3562" t="str">
        <f>HYPERLINK("https://business-monitor.ch/de/companies/147819-kalan-ag?utm_source=oberaargau","PROFIL ANSEHEN")</f>
        <v>PROFIL ANSEHEN</v>
      </c>
    </row>
    <row r="3563" spans="1:12" x14ac:dyDescent="0.2">
      <c r="A3563" t="s">
        <v>8128</v>
      </c>
      <c r="B3563" t="s">
        <v>8129</v>
      </c>
      <c r="C3563" t="s">
        <v>13</v>
      </c>
      <c r="E3563" t="s">
        <v>8130</v>
      </c>
      <c r="F3563">
        <v>4950</v>
      </c>
      <c r="G3563" t="s">
        <v>15</v>
      </c>
      <c r="H3563" t="s">
        <v>16</v>
      </c>
      <c r="I3563" t="s">
        <v>1401</v>
      </c>
      <c r="J3563" t="s">
        <v>1402</v>
      </c>
      <c r="K3563" t="s">
        <v>1809</v>
      </c>
      <c r="L3563" t="str">
        <f>HYPERLINK("https://business-monitor.ch/de/companies/208420-blumeninsel-huttwil-ag?utm_source=oberaargau","PROFIL ANSEHEN")</f>
        <v>PROFIL ANSEHEN</v>
      </c>
    </row>
    <row r="3564" spans="1:12" x14ac:dyDescent="0.2">
      <c r="A3564" t="s">
        <v>7506</v>
      </c>
      <c r="B3564" t="s">
        <v>7507</v>
      </c>
      <c r="C3564" t="s">
        <v>202</v>
      </c>
      <c r="E3564" t="s">
        <v>7508</v>
      </c>
      <c r="F3564">
        <v>4954</v>
      </c>
      <c r="G3564" t="s">
        <v>359</v>
      </c>
      <c r="H3564" t="s">
        <v>16</v>
      </c>
      <c r="I3564" t="s">
        <v>433</v>
      </c>
      <c r="J3564" t="s">
        <v>434</v>
      </c>
      <c r="K3564" t="s">
        <v>1809</v>
      </c>
      <c r="L3564" t="str">
        <f>HYPERLINK("https://business-monitor.ch/de/companies/720557-flytk-gmbh?utm_source=oberaargau","PROFIL ANSEHEN")</f>
        <v>PROFIL ANSEHEN</v>
      </c>
    </row>
    <row r="3565" spans="1:12" x14ac:dyDescent="0.2">
      <c r="A3565" t="s">
        <v>12756</v>
      </c>
      <c r="B3565" t="s">
        <v>12757</v>
      </c>
      <c r="C3565" t="s">
        <v>2258</v>
      </c>
      <c r="D3565" t="s">
        <v>12758</v>
      </c>
      <c r="E3565" t="s">
        <v>4118</v>
      </c>
      <c r="F3565">
        <v>4912</v>
      </c>
      <c r="G3565" t="s">
        <v>64</v>
      </c>
      <c r="H3565" t="s">
        <v>16</v>
      </c>
      <c r="I3565" t="s">
        <v>1924</v>
      </c>
      <c r="J3565" t="s">
        <v>1925</v>
      </c>
      <c r="K3565" t="s">
        <v>1809</v>
      </c>
      <c r="L3565" t="str">
        <f>HYPERLINK("https://business-monitor.ch/de/companies/1225893-insan-charity-verein-icv?utm_source=oberaargau","PROFIL ANSEHEN")</f>
        <v>PROFIL ANSEHEN</v>
      </c>
    </row>
    <row r="3566" spans="1:12" x14ac:dyDescent="0.2">
      <c r="A3566" t="s">
        <v>2594</v>
      </c>
      <c r="B3566" t="s">
        <v>2595</v>
      </c>
      <c r="C3566" t="s">
        <v>1812</v>
      </c>
      <c r="E3566" t="s">
        <v>2596</v>
      </c>
      <c r="F3566">
        <v>4537</v>
      </c>
      <c r="G3566" t="s">
        <v>113</v>
      </c>
      <c r="H3566" t="s">
        <v>16</v>
      </c>
      <c r="I3566" t="s">
        <v>1278</v>
      </c>
      <c r="J3566" t="s">
        <v>1279</v>
      </c>
      <c r="K3566" t="s">
        <v>1809</v>
      </c>
      <c r="L3566" t="str">
        <f>HYPERLINK("https://business-monitor.ch/de/companies/273776-kummer-laser?utm_source=oberaargau","PROFIL ANSEHEN")</f>
        <v>PROFIL ANSEHEN</v>
      </c>
    </row>
    <row r="3567" spans="1:12" x14ac:dyDescent="0.2">
      <c r="A3567" t="s">
        <v>7933</v>
      </c>
      <c r="B3567" t="s">
        <v>7934</v>
      </c>
      <c r="C3567" t="s">
        <v>1812</v>
      </c>
      <c r="E3567" t="s">
        <v>7935</v>
      </c>
      <c r="F3567">
        <v>4935</v>
      </c>
      <c r="G3567" t="s">
        <v>443</v>
      </c>
      <c r="H3567" t="s">
        <v>16</v>
      </c>
      <c r="I3567" t="s">
        <v>2647</v>
      </c>
      <c r="J3567" t="s">
        <v>2648</v>
      </c>
      <c r="K3567" t="s">
        <v>1809</v>
      </c>
      <c r="L3567" t="str">
        <f>HYPERLINK("https://business-monitor.ch/de/companies/443422-creation-beatrice-burri?utm_source=oberaargau","PROFIL ANSEHEN")</f>
        <v>PROFIL ANSEHEN</v>
      </c>
    </row>
    <row r="3568" spans="1:12" x14ac:dyDescent="0.2">
      <c r="A3568" t="s">
        <v>8626</v>
      </c>
      <c r="B3568" t="s">
        <v>8627</v>
      </c>
      <c r="C3568" t="s">
        <v>1812</v>
      </c>
      <c r="E3568" t="s">
        <v>2179</v>
      </c>
      <c r="F3568">
        <v>4900</v>
      </c>
      <c r="G3568" t="s">
        <v>41</v>
      </c>
      <c r="H3568" t="s">
        <v>16</v>
      </c>
      <c r="I3568" t="s">
        <v>1576</v>
      </c>
      <c r="J3568" t="s">
        <v>1577</v>
      </c>
      <c r="K3568" t="s">
        <v>1809</v>
      </c>
      <c r="L3568" t="str">
        <f>HYPERLINK("https://business-monitor.ch/de/companies/443912-dropa-drogerie-meyer?utm_source=oberaargau","PROFIL ANSEHEN")</f>
        <v>PROFIL ANSEHEN</v>
      </c>
    </row>
    <row r="3569" spans="1:12" x14ac:dyDescent="0.2">
      <c r="A3569" t="s">
        <v>4356</v>
      </c>
      <c r="B3569" t="s">
        <v>4357</v>
      </c>
      <c r="C3569" t="s">
        <v>202</v>
      </c>
      <c r="E3569" t="s">
        <v>4358</v>
      </c>
      <c r="F3569">
        <v>3373</v>
      </c>
      <c r="G3569" t="s">
        <v>2429</v>
      </c>
      <c r="H3569" t="s">
        <v>16</v>
      </c>
      <c r="I3569" t="s">
        <v>624</v>
      </c>
      <c r="J3569" t="s">
        <v>625</v>
      </c>
      <c r="K3569" t="s">
        <v>1809</v>
      </c>
      <c r="L3569" t="str">
        <f>HYPERLINK("https://business-monitor.ch/de/companies/958805-aeberhardt-gmbh?utm_source=oberaargau","PROFIL ANSEHEN")</f>
        <v>PROFIL ANSEHEN</v>
      </c>
    </row>
    <row r="3570" spans="1:12" x14ac:dyDescent="0.2">
      <c r="A3570" t="s">
        <v>9352</v>
      </c>
      <c r="B3570" t="s">
        <v>9353</v>
      </c>
      <c r="C3570" t="s">
        <v>13</v>
      </c>
      <c r="E3570" t="s">
        <v>9354</v>
      </c>
      <c r="F3570">
        <v>4900</v>
      </c>
      <c r="G3570" t="s">
        <v>41</v>
      </c>
      <c r="H3570" t="s">
        <v>16</v>
      </c>
      <c r="I3570" t="s">
        <v>748</v>
      </c>
      <c r="J3570" t="s">
        <v>749</v>
      </c>
      <c r="K3570" t="s">
        <v>1809</v>
      </c>
      <c r="L3570" t="str">
        <f>HYPERLINK("https://business-monitor.ch/de/companies/73047-jaeggipagani-ag?utm_source=oberaargau","PROFIL ANSEHEN")</f>
        <v>PROFIL ANSEHEN</v>
      </c>
    </row>
    <row r="3571" spans="1:12" x14ac:dyDescent="0.2">
      <c r="A3571" t="s">
        <v>4120</v>
      </c>
      <c r="B3571" t="s">
        <v>4121</v>
      </c>
      <c r="C3571" t="s">
        <v>202</v>
      </c>
      <c r="E3571" t="s">
        <v>4122</v>
      </c>
      <c r="F3571">
        <v>4952</v>
      </c>
      <c r="G3571" t="s">
        <v>474</v>
      </c>
      <c r="H3571" t="s">
        <v>16</v>
      </c>
      <c r="I3571" t="s">
        <v>167</v>
      </c>
      <c r="J3571" t="s">
        <v>168</v>
      </c>
      <c r="K3571" t="s">
        <v>1809</v>
      </c>
      <c r="L3571" t="str">
        <f>HYPERLINK("https://business-monitor.ch/de/companies/1031527-m-h-dienstleistungs-gmbh?utm_source=oberaargau","PROFIL ANSEHEN")</f>
        <v>PROFIL ANSEHEN</v>
      </c>
    </row>
    <row r="3572" spans="1:12" x14ac:dyDescent="0.2">
      <c r="A3572" t="s">
        <v>7946</v>
      </c>
      <c r="B3572" t="s">
        <v>11192</v>
      </c>
      <c r="C3572" t="s">
        <v>1812</v>
      </c>
      <c r="E3572" t="s">
        <v>7947</v>
      </c>
      <c r="F3572">
        <v>4932</v>
      </c>
      <c r="G3572" t="s">
        <v>325</v>
      </c>
      <c r="H3572" t="s">
        <v>16</v>
      </c>
      <c r="I3572" t="s">
        <v>298</v>
      </c>
      <c r="J3572" t="s">
        <v>299</v>
      </c>
      <c r="K3572" t="s">
        <v>1809</v>
      </c>
      <c r="L3572" t="str">
        <f>HYPERLINK("https://business-monitor.ch/de/companies/493383-saegesser-motorgeraete?utm_source=oberaargau","PROFIL ANSEHEN")</f>
        <v>PROFIL ANSEHEN</v>
      </c>
    </row>
    <row r="3573" spans="1:12" x14ac:dyDescent="0.2">
      <c r="A3573" t="s">
        <v>2576</v>
      </c>
      <c r="B3573" t="s">
        <v>2577</v>
      </c>
      <c r="C3573" t="s">
        <v>202</v>
      </c>
      <c r="E3573" t="s">
        <v>2578</v>
      </c>
      <c r="F3573">
        <v>4900</v>
      </c>
      <c r="G3573" t="s">
        <v>41</v>
      </c>
      <c r="H3573" t="s">
        <v>16</v>
      </c>
      <c r="I3573" t="s">
        <v>153</v>
      </c>
      <c r="J3573" t="s">
        <v>154</v>
      </c>
      <c r="K3573" t="s">
        <v>1809</v>
      </c>
      <c r="L3573" t="str">
        <f>HYPERLINK("https://business-monitor.ch/de/companies/505213-r-h-engineering-gmbh?utm_source=oberaargau","PROFIL ANSEHEN")</f>
        <v>PROFIL ANSEHEN</v>
      </c>
    </row>
    <row r="3574" spans="1:12" x14ac:dyDescent="0.2">
      <c r="A3574" t="s">
        <v>354</v>
      </c>
      <c r="B3574" t="s">
        <v>3551</v>
      </c>
      <c r="C3574" t="s">
        <v>202</v>
      </c>
      <c r="D3574" t="s">
        <v>1739</v>
      </c>
      <c r="E3574" t="s">
        <v>747</v>
      </c>
      <c r="F3574">
        <v>4900</v>
      </c>
      <c r="G3574" t="s">
        <v>41</v>
      </c>
      <c r="H3574" t="s">
        <v>16</v>
      </c>
      <c r="I3574" t="s">
        <v>2231</v>
      </c>
      <c r="J3574" t="s">
        <v>2232</v>
      </c>
      <c r="K3574" t="s">
        <v>1809</v>
      </c>
      <c r="L3574" t="str">
        <f>HYPERLINK("https://business-monitor.ch/de/companies/131170-s-ammann-gmbh?utm_source=oberaargau","PROFIL ANSEHEN")</f>
        <v>PROFIL ANSEHEN</v>
      </c>
    </row>
    <row r="3575" spans="1:12" x14ac:dyDescent="0.2">
      <c r="A3575" t="s">
        <v>6008</v>
      </c>
      <c r="B3575" t="s">
        <v>6009</v>
      </c>
      <c r="C3575" t="s">
        <v>202</v>
      </c>
      <c r="E3575" t="s">
        <v>1834</v>
      </c>
      <c r="F3575">
        <v>3360</v>
      </c>
      <c r="G3575" t="s">
        <v>35</v>
      </c>
      <c r="H3575" t="s">
        <v>16</v>
      </c>
      <c r="I3575" t="s">
        <v>551</v>
      </c>
      <c r="J3575" t="s">
        <v>552</v>
      </c>
      <c r="K3575" t="s">
        <v>1809</v>
      </c>
      <c r="L3575" t="str">
        <f>HYPERLINK("https://business-monitor.ch/de/companies/238842-mandatum-verwaltungsmanagement-gmbh?utm_source=oberaargau","PROFIL ANSEHEN")</f>
        <v>PROFIL ANSEHEN</v>
      </c>
    </row>
    <row r="3576" spans="1:12" x14ac:dyDescent="0.2">
      <c r="A3576" t="s">
        <v>12229</v>
      </c>
      <c r="B3576" t="s">
        <v>12230</v>
      </c>
      <c r="C3576" t="s">
        <v>13</v>
      </c>
      <c r="E3576" t="s">
        <v>12231</v>
      </c>
      <c r="F3576">
        <v>4900</v>
      </c>
      <c r="G3576" t="s">
        <v>41</v>
      </c>
      <c r="H3576" t="s">
        <v>16</v>
      </c>
      <c r="I3576" t="s">
        <v>551</v>
      </c>
      <c r="J3576" t="s">
        <v>552</v>
      </c>
      <c r="K3576" t="s">
        <v>1809</v>
      </c>
      <c r="L3576" t="str">
        <f>HYPERLINK("https://business-monitor.ch/de/companies/1177959-solis-consult-ag?utm_source=oberaargau","PROFIL ANSEHEN")</f>
        <v>PROFIL ANSEHEN</v>
      </c>
    </row>
    <row r="3577" spans="1:12" x14ac:dyDescent="0.2">
      <c r="A3577" t="s">
        <v>5109</v>
      </c>
      <c r="B3577" t="s">
        <v>7953</v>
      </c>
      <c r="C3577" t="s">
        <v>1812</v>
      </c>
      <c r="E3577" t="s">
        <v>7954</v>
      </c>
      <c r="F3577">
        <v>4952</v>
      </c>
      <c r="G3577" t="s">
        <v>474</v>
      </c>
      <c r="H3577" t="s">
        <v>16</v>
      </c>
      <c r="I3577" t="s">
        <v>624</v>
      </c>
      <c r="J3577" t="s">
        <v>625</v>
      </c>
      <c r="K3577" t="s">
        <v>1809</v>
      </c>
      <c r="L3577" t="str">
        <f>HYPERLINK("https://business-monitor.ch/de/companies/173709-fritz-gygli?utm_source=oberaargau","PROFIL ANSEHEN")</f>
        <v>PROFIL ANSEHEN</v>
      </c>
    </row>
    <row r="3578" spans="1:12" x14ac:dyDescent="0.2">
      <c r="A3578" t="s">
        <v>9991</v>
      </c>
      <c r="B3578" t="s">
        <v>9992</v>
      </c>
      <c r="C3578" t="s">
        <v>202</v>
      </c>
      <c r="E3578" t="s">
        <v>3942</v>
      </c>
      <c r="F3578">
        <v>3360</v>
      </c>
      <c r="G3578" t="s">
        <v>35</v>
      </c>
      <c r="H3578" t="s">
        <v>16</v>
      </c>
      <c r="I3578" t="s">
        <v>642</v>
      </c>
      <c r="J3578" t="s">
        <v>643</v>
      </c>
      <c r="K3578" t="s">
        <v>1809</v>
      </c>
      <c r="L3578" t="str">
        <f>HYPERLINK("https://business-monitor.ch/de/companies/727171-dilara-sosk-gmbh?utm_source=oberaargau","PROFIL ANSEHEN")</f>
        <v>PROFIL ANSEHEN</v>
      </c>
    </row>
    <row r="3579" spans="1:12" x14ac:dyDescent="0.2">
      <c r="A3579" t="s">
        <v>8864</v>
      </c>
      <c r="B3579" t="s">
        <v>8865</v>
      </c>
      <c r="C3579" t="s">
        <v>202</v>
      </c>
      <c r="E3579" t="s">
        <v>8866</v>
      </c>
      <c r="F3579">
        <v>4900</v>
      </c>
      <c r="G3579" t="s">
        <v>41</v>
      </c>
      <c r="H3579" t="s">
        <v>16</v>
      </c>
      <c r="I3579" t="s">
        <v>1267</v>
      </c>
      <c r="J3579" t="s">
        <v>1268</v>
      </c>
      <c r="K3579" t="s">
        <v>1809</v>
      </c>
      <c r="L3579" t="str">
        <f>HYPERLINK("https://business-monitor.ch/de/companies/314881-baltart-gmbh-switzerland?utm_source=oberaargau","PROFIL ANSEHEN")</f>
        <v>PROFIL ANSEHEN</v>
      </c>
    </row>
    <row r="3580" spans="1:12" x14ac:dyDescent="0.2">
      <c r="A3580" t="s">
        <v>12163</v>
      </c>
      <c r="B3580" t="s">
        <v>12164</v>
      </c>
      <c r="C3580" t="s">
        <v>1812</v>
      </c>
      <c r="E3580" t="s">
        <v>12165</v>
      </c>
      <c r="F3580">
        <v>3375</v>
      </c>
      <c r="G3580" t="s">
        <v>667</v>
      </c>
      <c r="H3580" t="s">
        <v>16</v>
      </c>
      <c r="I3580" t="s">
        <v>596</v>
      </c>
      <c r="J3580" t="s">
        <v>597</v>
      </c>
      <c r="K3580" t="s">
        <v>1809</v>
      </c>
      <c r="L3580" t="str">
        <f>HYPERLINK("https://business-monitor.ch/de/companies/1179700-wagner-homebrew?utm_source=oberaargau","PROFIL ANSEHEN")</f>
        <v>PROFIL ANSEHEN</v>
      </c>
    </row>
    <row r="3581" spans="1:12" x14ac:dyDescent="0.2">
      <c r="A3581" t="s">
        <v>4027</v>
      </c>
      <c r="B3581" t="s">
        <v>4028</v>
      </c>
      <c r="C3581" t="s">
        <v>2178</v>
      </c>
      <c r="E3581" t="s">
        <v>4029</v>
      </c>
      <c r="F3581">
        <v>4900</v>
      </c>
      <c r="G3581" t="s">
        <v>41</v>
      </c>
      <c r="H3581" t="s">
        <v>16</v>
      </c>
      <c r="I3581" t="s">
        <v>153</v>
      </c>
      <c r="J3581" t="s">
        <v>154</v>
      </c>
      <c r="K3581" t="s">
        <v>1809</v>
      </c>
      <c r="L3581" t="str">
        <f>HYPERLINK("https://business-monitor.ch/de/companies/531852-bering-ag-zweigniederlassung-langenthal?utm_source=oberaargau","PROFIL ANSEHEN")</f>
        <v>PROFIL ANSEHEN</v>
      </c>
    </row>
    <row r="3582" spans="1:12" x14ac:dyDescent="0.2">
      <c r="A3582" t="s">
        <v>14357</v>
      </c>
      <c r="B3582" t="s">
        <v>14358</v>
      </c>
      <c r="C3582" t="s">
        <v>1812</v>
      </c>
      <c r="E3582" t="s">
        <v>14359</v>
      </c>
      <c r="F3582">
        <v>3363</v>
      </c>
      <c r="G3582" t="s">
        <v>1367</v>
      </c>
      <c r="H3582" t="s">
        <v>16</v>
      </c>
      <c r="I3582" t="s">
        <v>14360</v>
      </c>
      <c r="J3582" t="s">
        <v>14361</v>
      </c>
      <c r="K3582" t="s">
        <v>1809</v>
      </c>
      <c r="L3582" t="str">
        <f>HYPERLINK("https://business-monitor.ch/de/companies/652751-schneider-hotelgastro-consulting?utm_source=oberaargau","PROFIL ANSEHEN")</f>
        <v>PROFIL ANSEHEN</v>
      </c>
    </row>
    <row r="3583" spans="1:12" x14ac:dyDescent="0.2">
      <c r="A3583" t="s">
        <v>9163</v>
      </c>
      <c r="B3583" t="s">
        <v>9164</v>
      </c>
      <c r="C3583" t="s">
        <v>13</v>
      </c>
      <c r="E3583" t="s">
        <v>14586</v>
      </c>
      <c r="F3583">
        <v>4934</v>
      </c>
      <c r="G3583" t="s">
        <v>670</v>
      </c>
      <c r="H3583" t="s">
        <v>16</v>
      </c>
      <c r="I3583" t="s">
        <v>974</v>
      </c>
      <c r="J3583" t="s">
        <v>975</v>
      </c>
      <c r="K3583" t="s">
        <v>1809</v>
      </c>
      <c r="L3583" t="str">
        <f>HYPERLINK("https://business-monitor.ch/de/companies/171556-carrosserie-gygax-ag?utm_source=oberaargau","PROFIL ANSEHEN")</f>
        <v>PROFIL ANSEHEN</v>
      </c>
    </row>
    <row r="3584" spans="1:12" x14ac:dyDescent="0.2">
      <c r="A3584" t="s">
        <v>2033</v>
      </c>
      <c r="B3584" t="s">
        <v>2034</v>
      </c>
      <c r="C3584" t="s">
        <v>1812</v>
      </c>
      <c r="E3584" t="s">
        <v>2035</v>
      </c>
      <c r="F3584">
        <v>4932</v>
      </c>
      <c r="G3584" t="s">
        <v>2036</v>
      </c>
      <c r="H3584" t="s">
        <v>16</v>
      </c>
      <c r="I3584" t="s">
        <v>464</v>
      </c>
      <c r="J3584" t="s">
        <v>465</v>
      </c>
      <c r="K3584" t="s">
        <v>1809</v>
      </c>
      <c r="L3584" t="str">
        <f>HYPERLINK("https://business-monitor.ch/de/companies/171561-manfred-flueckiger-transporte?utm_source=oberaargau","PROFIL ANSEHEN")</f>
        <v>PROFIL ANSEHEN</v>
      </c>
    </row>
    <row r="3585" spans="1:12" x14ac:dyDescent="0.2">
      <c r="A3585" t="s">
        <v>3429</v>
      </c>
      <c r="B3585" t="s">
        <v>3451</v>
      </c>
      <c r="C3585" t="s">
        <v>13</v>
      </c>
      <c r="E3585" t="s">
        <v>3452</v>
      </c>
      <c r="F3585">
        <v>4704</v>
      </c>
      <c r="G3585" t="s">
        <v>221</v>
      </c>
      <c r="H3585" t="s">
        <v>16</v>
      </c>
      <c r="I3585" t="s">
        <v>157</v>
      </c>
      <c r="J3585" t="s">
        <v>158</v>
      </c>
      <c r="K3585" t="s">
        <v>1809</v>
      </c>
      <c r="L3585" t="str">
        <f>HYPERLINK("https://business-monitor.ch/de/companies/173629-marti-bipp-ag?utm_source=oberaargau","PROFIL ANSEHEN")</f>
        <v>PROFIL ANSEHEN</v>
      </c>
    </row>
    <row r="3586" spans="1:12" x14ac:dyDescent="0.2">
      <c r="A3586" t="s">
        <v>5828</v>
      </c>
      <c r="B3586" t="s">
        <v>5829</v>
      </c>
      <c r="C3586" t="s">
        <v>1812</v>
      </c>
      <c r="E3586" t="s">
        <v>2931</v>
      </c>
      <c r="F3586">
        <v>4938</v>
      </c>
      <c r="G3586" t="s">
        <v>618</v>
      </c>
      <c r="H3586" t="s">
        <v>16</v>
      </c>
      <c r="I3586" t="s">
        <v>298</v>
      </c>
      <c r="J3586" t="s">
        <v>299</v>
      </c>
      <c r="K3586" t="s">
        <v>1809</v>
      </c>
      <c r="L3586" t="str">
        <f>HYPERLINK("https://business-monitor.ch/de/companies/428001-wunderwerkstatt-menke?utm_source=oberaargau","PROFIL ANSEHEN")</f>
        <v>PROFIL ANSEHEN</v>
      </c>
    </row>
    <row r="3587" spans="1:12" x14ac:dyDescent="0.2">
      <c r="A3587" t="s">
        <v>2024</v>
      </c>
      <c r="B3587" t="s">
        <v>2025</v>
      </c>
      <c r="C3587" t="s">
        <v>1812</v>
      </c>
      <c r="E3587" t="s">
        <v>2026</v>
      </c>
      <c r="F3587">
        <v>4900</v>
      </c>
      <c r="G3587" t="s">
        <v>41</v>
      </c>
      <c r="H3587" t="s">
        <v>16</v>
      </c>
      <c r="I3587" t="s">
        <v>2027</v>
      </c>
      <c r="J3587" t="s">
        <v>2028</v>
      </c>
      <c r="K3587" t="s">
        <v>1809</v>
      </c>
      <c r="L3587" t="str">
        <f>HYPERLINK("https://business-monitor.ch/de/companies/176185-hanspeter-spahr?utm_source=oberaargau","PROFIL ANSEHEN")</f>
        <v>PROFIL ANSEHEN</v>
      </c>
    </row>
    <row r="3588" spans="1:12" x14ac:dyDescent="0.2">
      <c r="A3588" t="s">
        <v>7458</v>
      </c>
      <c r="B3588" t="s">
        <v>7459</v>
      </c>
      <c r="C3588" t="s">
        <v>1812</v>
      </c>
      <c r="E3588" t="s">
        <v>7460</v>
      </c>
      <c r="F3588">
        <v>4900</v>
      </c>
      <c r="G3588" t="s">
        <v>41</v>
      </c>
      <c r="H3588" t="s">
        <v>16</v>
      </c>
      <c r="I3588" t="s">
        <v>551</v>
      </c>
      <c r="J3588" t="s">
        <v>552</v>
      </c>
      <c r="K3588" t="s">
        <v>1809</v>
      </c>
      <c r="L3588" t="str">
        <f>HYPERLINK("https://business-monitor.ch/de/companies/936646-sommotion-dr-marc-balsiger?utm_source=oberaargau","PROFIL ANSEHEN")</f>
        <v>PROFIL ANSEHEN</v>
      </c>
    </row>
    <row r="3589" spans="1:12" x14ac:dyDescent="0.2">
      <c r="A3589" t="s">
        <v>12224</v>
      </c>
      <c r="B3589" t="s">
        <v>12220</v>
      </c>
      <c r="C3589" t="s">
        <v>1812</v>
      </c>
      <c r="E3589" t="s">
        <v>8131</v>
      </c>
      <c r="F3589">
        <v>4914</v>
      </c>
      <c r="G3589" t="s">
        <v>105</v>
      </c>
      <c r="H3589" t="s">
        <v>16</v>
      </c>
      <c r="I3589" t="s">
        <v>1860</v>
      </c>
      <c r="J3589" t="s">
        <v>1861</v>
      </c>
      <c r="K3589" t="s">
        <v>1809</v>
      </c>
      <c r="L3589" t="str">
        <f>HYPERLINK("https://business-monitor.ch/de/companies/1186659-adelheid-blum?utm_source=oberaargau","PROFIL ANSEHEN")</f>
        <v>PROFIL ANSEHEN</v>
      </c>
    </row>
    <row r="3590" spans="1:12" x14ac:dyDescent="0.2">
      <c r="A3590" t="s">
        <v>14168</v>
      </c>
      <c r="B3590" t="s">
        <v>14169</v>
      </c>
      <c r="C3590" t="s">
        <v>1812</v>
      </c>
      <c r="E3590" t="s">
        <v>14170</v>
      </c>
      <c r="F3590">
        <v>3367</v>
      </c>
      <c r="G3590" t="s">
        <v>1336</v>
      </c>
      <c r="H3590" t="s">
        <v>16</v>
      </c>
      <c r="I3590" t="s">
        <v>2438</v>
      </c>
      <c r="J3590" t="s">
        <v>2439</v>
      </c>
      <c r="K3590" t="s">
        <v>1809</v>
      </c>
      <c r="L3590" t="str">
        <f>HYPERLINK("https://business-monitor.ch/de/companies/1284688-landtreuhand-sollberger?utm_source=oberaargau","PROFIL ANSEHEN")</f>
        <v>PROFIL ANSEHEN</v>
      </c>
    </row>
    <row r="3591" spans="1:12" x14ac:dyDescent="0.2">
      <c r="A3591" t="s">
        <v>5576</v>
      </c>
      <c r="B3591" t="s">
        <v>5577</v>
      </c>
      <c r="C3591" t="s">
        <v>202</v>
      </c>
      <c r="E3591" t="s">
        <v>5578</v>
      </c>
      <c r="F3591">
        <v>4912</v>
      </c>
      <c r="G3591" t="s">
        <v>64</v>
      </c>
      <c r="H3591" t="s">
        <v>16</v>
      </c>
      <c r="I3591" t="s">
        <v>1491</v>
      </c>
      <c r="J3591" t="s">
        <v>1492</v>
      </c>
      <c r="K3591" t="s">
        <v>1809</v>
      </c>
      <c r="L3591" t="str">
        <f>HYPERLINK("https://business-monitor.ch/de/companies/62303-sofri-gmbh?utm_source=oberaargau","PROFIL ANSEHEN")</f>
        <v>PROFIL ANSEHEN</v>
      </c>
    </row>
    <row r="3592" spans="1:12" x14ac:dyDescent="0.2">
      <c r="A3592" t="s">
        <v>4566</v>
      </c>
      <c r="B3592" t="s">
        <v>4567</v>
      </c>
      <c r="C3592" t="s">
        <v>202</v>
      </c>
      <c r="E3592" t="s">
        <v>4568</v>
      </c>
      <c r="F3592">
        <v>4943</v>
      </c>
      <c r="G3592" t="s">
        <v>1022</v>
      </c>
      <c r="H3592" t="s">
        <v>16</v>
      </c>
      <c r="I3592" t="s">
        <v>4569</v>
      </c>
      <c r="J3592" t="s">
        <v>4570</v>
      </c>
      <c r="K3592" t="s">
        <v>1809</v>
      </c>
      <c r="L3592" t="str">
        <f>HYPERLINK("https://business-monitor.ch/de/companies/654314-dj-ref-jd-gmbh?utm_source=oberaargau","PROFIL ANSEHEN")</f>
        <v>PROFIL ANSEHEN</v>
      </c>
    </row>
    <row r="3593" spans="1:12" x14ac:dyDescent="0.2">
      <c r="A3593" t="s">
        <v>2708</v>
      </c>
      <c r="B3593" t="s">
        <v>2709</v>
      </c>
      <c r="C3593" t="s">
        <v>202</v>
      </c>
      <c r="E3593" t="s">
        <v>10635</v>
      </c>
      <c r="F3593">
        <v>3360</v>
      </c>
      <c r="G3593" t="s">
        <v>35</v>
      </c>
      <c r="H3593" t="s">
        <v>16</v>
      </c>
      <c r="I3593" t="s">
        <v>2226</v>
      </c>
      <c r="J3593" t="s">
        <v>2227</v>
      </c>
      <c r="K3593" t="s">
        <v>1809</v>
      </c>
      <c r="L3593" t="str">
        <f>HYPERLINK("https://business-monitor.ch/de/companies/465066-michele-stauffer-gmbh?utm_source=oberaargau","PROFIL ANSEHEN")</f>
        <v>PROFIL ANSEHEN</v>
      </c>
    </row>
    <row r="3594" spans="1:12" x14ac:dyDescent="0.2">
      <c r="A3594" t="s">
        <v>7809</v>
      </c>
      <c r="B3594" t="s">
        <v>13678</v>
      </c>
      <c r="C3594" t="s">
        <v>2178</v>
      </c>
      <c r="E3594" t="s">
        <v>1375</v>
      </c>
      <c r="F3594">
        <v>4704</v>
      </c>
      <c r="G3594" t="s">
        <v>221</v>
      </c>
      <c r="H3594" t="s">
        <v>16</v>
      </c>
      <c r="I3594" t="s">
        <v>91</v>
      </c>
      <c r="J3594" t="s">
        <v>92</v>
      </c>
      <c r="K3594" t="s">
        <v>1809</v>
      </c>
      <c r="L3594" t="str">
        <f>HYPERLINK("https://business-monitor.ch/de/companies/543152-avosano-industrie-service-ag?utm_source=oberaargau","PROFIL ANSEHEN")</f>
        <v>PROFIL ANSEHEN</v>
      </c>
    </row>
    <row r="3595" spans="1:12" x14ac:dyDescent="0.2">
      <c r="A3595" t="s">
        <v>8844</v>
      </c>
      <c r="B3595" t="s">
        <v>8845</v>
      </c>
      <c r="C3595" t="s">
        <v>202</v>
      </c>
      <c r="E3595" t="s">
        <v>3179</v>
      </c>
      <c r="F3595">
        <v>4900</v>
      </c>
      <c r="G3595" t="s">
        <v>41</v>
      </c>
      <c r="H3595" t="s">
        <v>16</v>
      </c>
      <c r="I3595" t="s">
        <v>260</v>
      </c>
      <c r="J3595" t="s">
        <v>261</v>
      </c>
      <c r="K3595" t="s">
        <v>1809</v>
      </c>
      <c r="L3595" t="str">
        <f>HYPERLINK("https://business-monitor.ch/de/companies/328544-planundwerk-gmbh?utm_source=oberaargau","PROFIL ANSEHEN")</f>
        <v>PROFIL ANSEHEN</v>
      </c>
    </row>
    <row r="3596" spans="1:12" x14ac:dyDescent="0.2">
      <c r="A3596" t="s">
        <v>2731</v>
      </c>
      <c r="B3596" t="s">
        <v>2732</v>
      </c>
      <c r="C3596" t="s">
        <v>1812</v>
      </c>
      <c r="E3596" t="s">
        <v>2733</v>
      </c>
      <c r="F3596">
        <v>3380</v>
      </c>
      <c r="G3596" t="s">
        <v>29</v>
      </c>
      <c r="H3596" t="s">
        <v>16</v>
      </c>
      <c r="I3596" t="s">
        <v>77</v>
      </c>
      <c r="J3596" t="s">
        <v>78</v>
      </c>
      <c r="K3596" t="s">
        <v>1809</v>
      </c>
      <c r="L3596" t="str">
        <f>HYPERLINK("https://business-monitor.ch/de/companies/455830-hehlen-at-work?utm_source=oberaargau","PROFIL ANSEHEN")</f>
        <v>PROFIL ANSEHEN</v>
      </c>
    </row>
    <row r="3597" spans="1:12" x14ac:dyDescent="0.2">
      <c r="A3597" t="s">
        <v>4609</v>
      </c>
      <c r="B3597" t="s">
        <v>4610</v>
      </c>
      <c r="C3597" t="s">
        <v>1812</v>
      </c>
      <c r="E3597" t="s">
        <v>4611</v>
      </c>
      <c r="F3597">
        <v>4913</v>
      </c>
      <c r="G3597" t="s">
        <v>207</v>
      </c>
      <c r="H3597" t="s">
        <v>16</v>
      </c>
      <c r="I3597" t="s">
        <v>629</v>
      </c>
      <c r="J3597" t="s">
        <v>630</v>
      </c>
      <c r="K3597" t="s">
        <v>1809</v>
      </c>
      <c r="L3597" t="str">
        <f>HYPERLINK("https://business-monitor.ch/de/companies/640940-kreiseckbeats-leimgruber-georg?utm_source=oberaargau","PROFIL ANSEHEN")</f>
        <v>PROFIL ANSEHEN</v>
      </c>
    </row>
    <row r="3598" spans="1:12" x14ac:dyDescent="0.2">
      <c r="A3598" t="s">
        <v>6995</v>
      </c>
      <c r="B3598" t="s">
        <v>6996</v>
      </c>
      <c r="C3598" t="s">
        <v>1812</v>
      </c>
      <c r="E3598" t="s">
        <v>6997</v>
      </c>
      <c r="F3598">
        <v>4917</v>
      </c>
      <c r="G3598" t="s">
        <v>376</v>
      </c>
      <c r="H3598" t="s">
        <v>16</v>
      </c>
      <c r="I3598" t="s">
        <v>30</v>
      </c>
      <c r="J3598" t="s">
        <v>31</v>
      </c>
      <c r="K3598" t="s">
        <v>1809</v>
      </c>
      <c r="L3598" t="str">
        <f>HYPERLINK("https://business-monitor.ch/de/companies/931263-reissnecker-s-bayerische-grabenlos?utm_source=oberaargau","PROFIL ANSEHEN")</f>
        <v>PROFIL ANSEHEN</v>
      </c>
    </row>
    <row r="3599" spans="1:12" x14ac:dyDescent="0.2">
      <c r="A3599" t="s">
        <v>10688</v>
      </c>
      <c r="B3599" t="s">
        <v>10689</v>
      </c>
      <c r="C3599" t="s">
        <v>1812</v>
      </c>
      <c r="E3599" t="s">
        <v>10690</v>
      </c>
      <c r="F3599">
        <v>3375</v>
      </c>
      <c r="G3599" t="s">
        <v>667</v>
      </c>
      <c r="H3599" t="s">
        <v>16</v>
      </c>
      <c r="I3599" t="s">
        <v>1097</v>
      </c>
      <c r="J3599" t="s">
        <v>1098</v>
      </c>
      <c r="K3599" t="s">
        <v>1809</v>
      </c>
      <c r="L3599" t="str">
        <f>HYPERLINK("https://business-monitor.ch/de/companies/458648-meerwasser-shop-csako?utm_source=oberaargau","PROFIL ANSEHEN")</f>
        <v>PROFIL ANSEHEN</v>
      </c>
    </row>
    <row r="3600" spans="1:12" x14ac:dyDescent="0.2">
      <c r="A3600" t="s">
        <v>5159</v>
      </c>
      <c r="B3600" t="s">
        <v>5160</v>
      </c>
      <c r="C3600" t="s">
        <v>13</v>
      </c>
      <c r="E3600" t="s">
        <v>4546</v>
      </c>
      <c r="F3600">
        <v>4912</v>
      </c>
      <c r="G3600" t="s">
        <v>64</v>
      </c>
      <c r="H3600" t="s">
        <v>16</v>
      </c>
      <c r="I3600" t="s">
        <v>5161</v>
      </c>
      <c r="J3600" t="s">
        <v>5162</v>
      </c>
      <c r="K3600" t="s">
        <v>1809</v>
      </c>
      <c r="L3600" t="str">
        <f>HYPERLINK("https://business-monitor.ch/de/companies/561080-die-showroesterei-ag?utm_source=oberaargau","PROFIL ANSEHEN")</f>
        <v>PROFIL ANSEHEN</v>
      </c>
    </row>
    <row r="3601" spans="1:12" x14ac:dyDescent="0.2">
      <c r="A3601" t="s">
        <v>4092</v>
      </c>
      <c r="B3601" t="s">
        <v>4093</v>
      </c>
      <c r="C3601" t="s">
        <v>202</v>
      </c>
      <c r="E3601" t="s">
        <v>4094</v>
      </c>
      <c r="F3601">
        <v>4922</v>
      </c>
      <c r="G3601" t="s">
        <v>99</v>
      </c>
      <c r="H3601" t="s">
        <v>16</v>
      </c>
      <c r="I3601" t="s">
        <v>642</v>
      </c>
      <c r="J3601" t="s">
        <v>643</v>
      </c>
      <c r="K3601" t="s">
        <v>1809</v>
      </c>
      <c r="L3601" t="str">
        <f>HYPERLINK("https://business-monitor.ch/de/companies/1041233-tr-autos-gmbh?utm_source=oberaargau","PROFIL ANSEHEN")</f>
        <v>PROFIL ANSEHEN</v>
      </c>
    </row>
    <row r="3602" spans="1:12" x14ac:dyDescent="0.2">
      <c r="A3602" t="s">
        <v>11756</v>
      </c>
      <c r="B3602" t="s">
        <v>11757</v>
      </c>
      <c r="C3602" t="s">
        <v>202</v>
      </c>
      <c r="D3602" t="s">
        <v>11758</v>
      </c>
      <c r="E3602" t="s">
        <v>9924</v>
      </c>
      <c r="F3602">
        <v>3365</v>
      </c>
      <c r="G3602" t="s">
        <v>1008</v>
      </c>
      <c r="H3602" t="s">
        <v>16</v>
      </c>
      <c r="I3602" t="s">
        <v>619</v>
      </c>
      <c r="J3602" t="s">
        <v>620</v>
      </c>
      <c r="K3602" t="s">
        <v>1809</v>
      </c>
      <c r="L3602" t="str">
        <f>HYPERLINK("https://business-monitor.ch/de/companies/1160175-waermeverbund-weber-wirth-gmbh?utm_source=oberaargau","PROFIL ANSEHEN")</f>
        <v>PROFIL ANSEHEN</v>
      </c>
    </row>
    <row r="3603" spans="1:12" x14ac:dyDescent="0.2">
      <c r="A3603" t="s">
        <v>1947</v>
      </c>
      <c r="B3603" t="s">
        <v>1948</v>
      </c>
      <c r="C3603" t="s">
        <v>1812</v>
      </c>
      <c r="E3603" t="s">
        <v>639</v>
      </c>
      <c r="F3603">
        <v>3367</v>
      </c>
      <c r="G3603" t="s">
        <v>455</v>
      </c>
      <c r="H3603" t="s">
        <v>16</v>
      </c>
      <c r="I3603" t="s">
        <v>1409</v>
      </c>
      <c r="J3603" t="s">
        <v>1410</v>
      </c>
      <c r="K3603" t="s">
        <v>1809</v>
      </c>
      <c r="L3603" t="str">
        <f>HYPERLINK("https://business-monitor.ch/de/companies/230488-beat-roder?utm_source=oberaargau","PROFIL ANSEHEN")</f>
        <v>PROFIL ANSEHEN</v>
      </c>
    </row>
    <row r="3604" spans="1:12" x14ac:dyDescent="0.2">
      <c r="A3604" t="s">
        <v>7517</v>
      </c>
      <c r="B3604" t="s">
        <v>7518</v>
      </c>
      <c r="C3604" t="s">
        <v>1812</v>
      </c>
      <c r="E3604" t="s">
        <v>2696</v>
      </c>
      <c r="F3604">
        <v>3373</v>
      </c>
      <c r="G3604" t="s">
        <v>2697</v>
      </c>
      <c r="H3604" t="s">
        <v>16</v>
      </c>
      <c r="I3604" t="s">
        <v>642</v>
      </c>
      <c r="J3604" t="s">
        <v>643</v>
      </c>
      <c r="K3604" t="s">
        <v>1809</v>
      </c>
      <c r="L3604" t="str">
        <f>HYPERLINK("https://business-monitor.ch/de/companies/715028-garage-frederic-halbeisen?utm_source=oberaargau","PROFIL ANSEHEN")</f>
        <v>PROFIL ANSEHEN</v>
      </c>
    </row>
    <row r="3605" spans="1:12" x14ac:dyDescent="0.2">
      <c r="A3605" t="s">
        <v>2176</v>
      </c>
      <c r="B3605" t="s">
        <v>2177</v>
      </c>
      <c r="C3605" t="s">
        <v>2178</v>
      </c>
      <c r="E3605" t="s">
        <v>2179</v>
      </c>
      <c r="F3605">
        <v>4900</v>
      </c>
      <c r="G3605" t="s">
        <v>41</v>
      </c>
      <c r="H3605" t="s">
        <v>16</v>
      </c>
      <c r="I3605" t="s">
        <v>824</v>
      </c>
      <c r="J3605" t="s">
        <v>825</v>
      </c>
      <c r="K3605" t="s">
        <v>1809</v>
      </c>
      <c r="L3605" t="str">
        <f>HYPERLINK("https://business-monitor.ch/de/companies/1083103-schaub-restaurants-gmbh-zweigniederlassung-langenthal?utm_source=oberaargau","PROFIL ANSEHEN")</f>
        <v>PROFIL ANSEHEN</v>
      </c>
    </row>
    <row r="3606" spans="1:12" x14ac:dyDescent="0.2">
      <c r="A3606" t="s">
        <v>12656</v>
      </c>
      <c r="B3606" t="s">
        <v>12657</v>
      </c>
      <c r="C3606" t="s">
        <v>202</v>
      </c>
      <c r="E3606" t="s">
        <v>6139</v>
      </c>
      <c r="F3606">
        <v>4704</v>
      </c>
      <c r="G3606" t="s">
        <v>221</v>
      </c>
      <c r="H3606" t="s">
        <v>16</v>
      </c>
      <c r="I3606" t="s">
        <v>3982</v>
      </c>
      <c r="J3606" t="s">
        <v>3983</v>
      </c>
      <c r="K3606" t="s">
        <v>1809</v>
      </c>
      <c r="L3606" t="str">
        <f>HYPERLINK("https://business-monitor.ch/de/companies/1121025-jungo-design-gmbh?utm_source=oberaargau","PROFIL ANSEHEN")</f>
        <v>PROFIL ANSEHEN</v>
      </c>
    </row>
    <row r="3607" spans="1:12" x14ac:dyDescent="0.2">
      <c r="A3607" t="s">
        <v>7394</v>
      </c>
      <c r="B3607" t="s">
        <v>7395</v>
      </c>
      <c r="C3607" t="s">
        <v>2178</v>
      </c>
      <c r="E3607" t="s">
        <v>7396</v>
      </c>
      <c r="F3607">
        <v>4536</v>
      </c>
      <c r="G3607" t="s">
        <v>1395</v>
      </c>
      <c r="H3607" t="s">
        <v>16</v>
      </c>
      <c r="I3607" t="s">
        <v>2962</v>
      </c>
      <c r="J3607" t="s">
        <v>2963</v>
      </c>
      <c r="K3607" t="s">
        <v>1809</v>
      </c>
      <c r="L3607" t="str">
        <f>HYPERLINK("https://business-monitor.ch/de/companies/962173-megaohm-control-ag-zweigniederlassung-attiswil?utm_source=oberaargau","PROFIL ANSEHEN")</f>
        <v>PROFIL ANSEHEN</v>
      </c>
    </row>
    <row r="3608" spans="1:12" x14ac:dyDescent="0.2">
      <c r="A3608" t="s">
        <v>11083</v>
      </c>
      <c r="B3608" t="s">
        <v>11084</v>
      </c>
      <c r="C3608" t="s">
        <v>202</v>
      </c>
      <c r="E3608" t="s">
        <v>4452</v>
      </c>
      <c r="F3608">
        <v>4900</v>
      </c>
      <c r="G3608" t="s">
        <v>41</v>
      </c>
      <c r="H3608" t="s">
        <v>16</v>
      </c>
      <c r="I3608" t="s">
        <v>733</v>
      </c>
      <c r="J3608" t="s">
        <v>734</v>
      </c>
      <c r="K3608" t="s">
        <v>1809</v>
      </c>
      <c r="L3608" t="str">
        <f>HYPERLINK("https://business-monitor.ch/de/companies/1120143-sb-automobile-gmbh?utm_source=oberaargau","PROFIL ANSEHEN")</f>
        <v>PROFIL ANSEHEN</v>
      </c>
    </row>
    <row r="3609" spans="1:12" x14ac:dyDescent="0.2">
      <c r="A3609" t="s">
        <v>1810</v>
      </c>
      <c r="B3609" t="s">
        <v>1811</v>
      </c>
      <c r="C3609" t="s">
        <v>1812</v>
      </c>
      <c r="E3609" t="s">
        <v>1813</v>
      </c>
      <c r="F3609">
        <v>4932</v>
      </c>
      <c r="G3609" t="s">
        <v>325</v>
      </c>
      <c r="H3609" t="s">
        <v>16</v>
      </c>
      <c r="I3609" t="s">
        <v>153</v>
      </c>
      <c r="J3609" t="s">
        <v>154</v>
      </c>
      <c r="K3609" t="s">
        <v>1809</v>
      </c>
      <c r="L3609" t="str">
        <f>HYPERLINK("https://business-monitor.ch/de/companies/204650-fritz-wyss?utm_source=oberaargau","PROFIL ANSEHEN")</f>
        <v>PROFIL ANSEHEN</v>
      </c>
    </row>
    <row r="3610" spans="1:12" x14ac:dyDescent="0.2">
      <c r="A3610" t="s">
        <v>5242</v>
      </c>
      <c r="B3610" t="s">
        <v>5706</v>
      </c>
      <c r="C3610" t="s">
        <v>1812</v>
      </c>
      <c r="E3610" t="s">
        <v>5707</v>
      </c>
      <c r="F3610">
        <v>3360</v>
      </c>
      <c r="G3610" t="s">
        <v>35</v>
      </c>
      <c r="H3610" t="s">
        <v>16</v>
      </c>
      <c r="I3610" t="s">
        <v>3253</v>
      </c>
      <c r="J3610" t="s">
        <v>3254</v>
      </c>
      <c r="K3610" t="s">
        <v>1809</v>
      </c>
      <c r="L3610" t="str">
        <f>HYPERLINK("https://business-monitor.ch/de/companies/115193-paul-jenzer?utm_source=oberaargau","PROFIL ANSEHEN")</f>
        <v>PROFIL ANSEHEN</v>
      </c>
    </row>
    <row r="3611" spans="1:12" x14ac:dyDescent="0.2">
      <c r="A3611" t="s">
        <v>10619</v>
      </c>
      <c r="B3611" t="s">
        <v>10620</v>
      </c>
      <c r="C3611" t="s">
        <v>13</v>
      </c>
      <c r="E3611" t="s">
        <v>3939</v>
      </c>
      <c r="F3611">
        <v>3380</v>
      </c>
      <c r="G3611" t="s">
        <v>29</v>
      </c>
      <c r="H3611" t="s">
        <v>16</v>
      </c>
      <c r="I3611" t="s">
        <v>671</v>
      </c>
      <c r="J3611" t="s">
        <v>672</v>
      </c>
      <c r="K3611" t="s">
        <v>1809</v>
      </c>
      <c r="L3611" t="str">
        <f>HYPERLINK("https://business-monitor.ch/de/companies/474803-praxis-gruppe-wangen-an-der-aare-ag?utm_source=oberaargau","PROFIL ANSEHEN")</f>
        <v>PROFIL ANSEHEN</v>
      </c>
    </row>
    <row r="3612" spans="1:12" x14ac:dyDescent="0.2">
      <c r="A3612" t="s">
        <v>1988</v>
      </c>
      <c r="B3612" t="s">
        <v>1989</v>
      </c>
      <c r="C3612" t="s">
        <v>1812</v>
      </c>
      <c r="E3612" t="s">
        <v>1990</v>
      </c>
      <c r="F3612">
        <v>4932</v>
      </c>
      <c r="G3612" t="s">
        <v>325</v>
      </c>
      <c r="H3612" t="s">
        <v>16</v>
      </c>
      <c r="I3612" t="s">
        <v>1981</v>
      </c>
      <c r="J3612" t="s">
        <v>1982</v>
      </c>
      <c r="K3612" t="s">
        <v>1809</v>
      </c>
      <c r="L3612" t="str">
        <f>HYPERLINK("https://business-monitor.ch/de/companies/207078-markus-ruch-uhren-bijouterie?utm_source=oberaargau","PROFIL ANSEHEN")</f>
        <v>PROFIL ANSEHEN</v>
      </c>
    </row>
    <row r="3613" spans="1:12" x14ac:dyDescent="0.2">
      <c r="A3613" t="s">
        <v>11457</v>
      </c>
      <c r="B3613" t="s">
        <v>11458</v>
      </c>
      <c r="C3613" t="s">
        <v>13</v>
      </c>
      <c r="D3613" t="s">
        <v>11459</v>
      </c>
      <c r="E3613" t="s">
        <v>432</v>
      </c>
      <c r="F3613">
        <v>4953</v>
      </c>
      <c r="G3613" t="s">
        <v>416</v>
      </c>
      <c r="H3613" t="s">
        <v>16</v>
      </c>
      <c r="I3613" t="s">
        <v>249</v>
      </c>
      <c r="J3613" t="s">
        <v>250</v>
      </c>
      <c r="K3613" t="s">
        <v>1809</v>
      </c>
      <c r="L3613" t="str">
        <f>HYPERLINK("https://business-monitor.ch/de/companies/1138521-hockey-huttwil-ag?utm_source=oberaargau","PROFIL ANSEHEN")</f>
        <v>PROFIL ANSEHEN</v>
      </c>
    </row>
    <row r="3614" spans="1:12" x14ac:dyDescent="0.2">
      <c r="A3614" t="s">
        <v>4086</v>
      </c>
      <c r="B3614" t="s">
        <v>4087</v>
      </c>
      <c r="C3614" t="s">
        <v>202</v>
      </c>
      <c r="E3614" t="s">
        <v>4088</v>
      </c>
      <c r="F3614">
        <v>3380</v>
      </c>
      <c r="G3614" t="s">
        <v>29</v>
      </c>
      <c r="H3614" t="s">
        <v>16</v>
      </c>
      <c r="I3614" t="s">
        <v>1485</v>
      </c>
      <c r="J3614" t="s">
        <v>1486</v>
      </c>
      <c r="K3614" t="s">
        <v>1809</v>
      </c>
      <c r="L3614" t="str">
        <f>HYPERLINK("https://business-monitor.ch/de/companies/1045150-fabio-fluri-detailhandel-gmbh?utm_source=oberaargau","PROFIL ANSEHEN")</f>
        <v>PROFIL ANSEHEN</v>
      </c>
    </row>
    <row r="3615" spans="1:12" x14ac:dyDescent="0.2">
      <c r="A3615" t="s">
        <v>3426</v>
      </c>
      <c r="B3615" t="s">
        <v>3427</v>
      </c>
      <c r="C3615" t="s">
        <v>1812</v>
      </c>
      <c r="E3615" t="s">
        <v>3428</v>
      </c>
      <c r="F3615">
        <v>4704</v>
      </c>
      <c r="G3615" t="s">
        <v>221</v>
      </c>
      <c r="H3615" t="s">
        <v>16</v>
      </c>
      <c r="I3615" t="s">
        <v>464</v>
      </c>
      <c r="J3615" t="s">
        <v>465</v>
      </c>
      <c r="K3615" t="s">
        <v>1809</v>
      </c>
      <c r="L3615" t="str">
        <f>HYPERLINK("https://business-monitor.ch/de/companies/181892-transporte-daniel-obi?utm_source=oberaargau","PROFIL ANSEHEN")</f>
        <v>PROFIL ANSEHEN</v>
      </c>
    </row>
    <row r="3616" spans="1:12" x14ac:dyDescent="0.2">
      <c r="A3616" t="s">
        <v>11586</v>
      </c>
      <c r="B3616" t="s">
        <v>11587</v>
      </c>
      <c r="C3616" t="s">
        <v>202</v>
      </c>
      <c r="E3616" t="s">
        <v>947</v>
      </c>
      <c r="F3616">
        <v>4900</v>
      </c>
      <c r="G3616" t="s">
        <v>41</v>
      </c>
      <c r="H3616" t="s">
        <v>16</v>
      </c>
      <c r="I3616" t="s">
        <v>1818</v>
      </c>
      <c r="J3616" t="s">
        <v>1819</v>
      </c>
      <c r="K3616" t="s">
        <v>1809</v>
      </c>
      <c r="L3616" t="str">
        <f>HYPERLINK("https://business-monitor.ch/de/companies/1138872-vebro-versicherungsbroker-gmbh?utm_source=oberaargau","PROFIL ANSEHEN")</f>
        <v>PROFIL ANSEHEN</v>
      </c>
    </row>
    <row r="3617" spans="1:12" x14ac:dyDescent="0.2">
      <c r="A3617" t="s">
        <v>13753</v>
      </c>
      <c r="B3617" t="s">
        <v>13754</v>
      </c>
      <c r="C3617" t="s">
        <v>202</v>
      </c>
      <c r="E3617" t="s">
        <v>1146</v>
      </c>
      <c r="F3617">
        <v>3360</v>
      </c>
      <c r="G3617" t="s">
        <v>35</v>
      </c>
      <c r="H3617" t="s">
        <v>16</v>
      </c>
      <c r="I3617" t="s">
        <v>12654</v>
      </c>
      <c r="J3617" t="s">
        <v>12655</v>
      </c>
      <c r="K3617" t="s">
        <v>1809</v>
      </c>
      <c r="L3617" t="str">
        <f>HYPERLINK("https://business-monitor.ch/de/companies/1268404-burri-coiffeurbedarf-gmbh?utm_source=oberaargau","PROFIL ANSEHEN")</f>
        <v>PROFIL ANSEHEN</v>
      </c>
    </row>
    <row r="3618" spans="1:12" x14ac:dyDescent="0.2">
      <c r="A3618" t="s">
        <v>3609</v>
      </c>
      <c r="B3618" t="s">
        <v>3610</v>
      </c>
      <c r="C3618" t="s">
        <v>13</v>
      </c>
      <c r="E3618" t="s">
        <v>3611</v>
      </c>
      <c r="F3618">
        <v>4900</v>
      </c>
      <c r="G3618" t="s">
        <v>41</v>
      </c>
      <c r="H3618" t="s">
        <v>16</v>
      </c>
      <c r="I3618" t="s">
        <v>2440</v>
      </c>
      <c r="J3618" t="s">
        <v>2441</v>
      </c>
      <c r="K3618" t="s">
        <v>1809</v>
      </c>
      <c r="L3618" t="str">
        <f>HYPERLINK("https://business-monitor.ch/de/companies/94920-ls-wari-ag-langenthal?utm_source=oberaargau","PROFIL ANSEHEN")</f>
        <v>PROFIL ANSEHEN</v>
      </c>
    </row>
    <row r="3619" spans="1:12" x14ac:dyDescent="0.2">
      <c r="A3619" t="s">
        <v>14299</v>
      </c>
      <c r="B3619" t="s">
        <v>14300</v>
      </c>
      <c r="C3619" t="s">
        <v>202</v>
      </c>
      <c r="D3619" t="s">
        <v>5210</v>
      </c>
      <c r="E3619" t="s">
        <v>1200</v>
      </c>
      <c r="F3619">
        <v>4900</v>
      </c>
      <c r="G3619" t="s">
        <v>41</v>
      </c>
      <c r="H3619" t="s">
        <v>16</v>
      </c>
      <c r="I3619" t="s">
        <v>186</v>
      </c>
      <c r="J3619" t="s">
        <v>187</v>
      </c>
      <c r="K3619" t="s">
        <v>1809</v>
      </c>
      <c r="L3619" t="str">
        <f>HYPERLINK("https://business-monitor.ch/de/companies/1290652-r-egger-gmbh?utm_source=oberaargau","PROFIL ANSEHEN")</f>
        <v>PROFIL ANSEHEN</v>
      </c>
    </row>
    <row r="3620" spans="1:12" x14ac:dyDescent="0.2">
      <c r="A3620" t="s">
        <v>12356</v>
      </c>
      <c r="B3620" t="s">
        <v>12357</v>
      </c>
      <c r="C3620" t="s">
        <v>202</v>
      </c>
      <c r="E3620" t="s">
        <v>1848</v>
      </c>
      <c r="F3620">
        <v>4704</v>
      </c>
      <c r="G3620" t="s">
        <v>3142</v>
      </c>
      <c r="H3620" t="s">
        <v>16</v>
      </c>
      <c r="I3620" t="s">
        <v>608</v>
      </c>
      <c r="J3620" t="s">
        <v>609</v>
      </c>
      <c r="K3620" t="s">
        <v>1809</v>
      </c>
      <c r="L3620" t="str">
        <f>HYPERLINK("https://business-monitor.ch/de/companies/1198851-christoph-schaad-gmbh?utm_source=oberaargau","PROFIL ANSEHEN")</f>
        <v>PROFIL ANSEHEN</v>
      </c>
    </row>
    <row r="3621" spans="1:12" x14ac:dyDescent="0.2">
      <c r="A3621" t="s">
        <v>9747</v>
      </c>
      <c r="B3621" t="s">
        <v>9748</v>
      </c>
      <c r="C3621" t="s">
        <v>202</v>
      </c>
      <c r="E3621" t="s">
        <v>9749</v>
      </c>
      <c r="F3621">
        <v>4922</v>
      </c>
      <c r="G3621" t="s">
        <v>1318</v>
      </c>
      <c r="H3621" t="s">
        <v>16</v>
      </c>
      <c r="I3621" t="s">
        <v>9750</v>
      </c>
      <c r="J3621" t="s">
        <v>9751</v>
      </c>
      <c r="K3621" t="s">
        <v>1809</v>
      </c>
      <c r="L3621" t="str">
        <f>HYPERLINK("https://business-monitor.ch/de/companies/1031298-luethi-s-klauenpflege-gmbh?utm_source=oberaargau","PROFIL ANSEHEN")</f>
        <v>PROFIL ANSEHEN</v>
      </c>
    </row>
    <row r="3622" spans="1:12" x14ac:dyDescent="0.2">
      <c r="A3622" t="s">
        <v>6631</v>
      </c>
      <c r="B3622" t="s">
        <v>6632</v>
      </c>
      <c r="C3622" t="s">
        <v>1812</v>
      </c>
      <c r="E3622" t="s">
        <v>6633</v>
      </c>
      <c r="F3622">
        <v>4950</v>
      </c>
      <c r="G3622" t="s">
        <v>15</v>
      </c>
      <c r="H3622" t="s">
        <v>16</v>
      </c>
      <c r="I3622" t="s">
        <v>24</v>
      </c>
      <c r="J3622" t="s">
        <v>25</v>
      </c>
      <c r="K3622" t="s">
        <v>1809</v>
      </c>
      <c r="L3622" t="str">
        <f>HYPERLINK("https://business-monitor.ch/de/companies/186130-flying-roger-muehlemann?utm_source=oberaargau","PROFIL ANSEHEN")</f>
        <v>PROFIL ANSEHEN</v>
      </c>
    </row>
    <row r="3623" spans="1:12" x14ac:dyDescent="0.2">
      <c r="A3623" t="s">
        <v>9890</v>
      </c>
      <c r="B3623" t="s">
        <v>9891</v>
      </c>
      <c r="C3623" t="s">
        <v>202</v>
      </c>
      <c r="E3623" t="s">
        <v>8110</v>
      </c>
      <c r="F3623">
        <v>4900</v>
      </c>
      <c r="G3623" t="s">
        <v>41</v>
      </c>
      <c r="H3623" t="s">
        <v>16</v>
      </c>
      <c r="I3623" t="s">
        <v>551</v>
      </c>
      <c r="J3623" t="s">
        <v>552</v>
      </c>
      <c r="K3623" t="s">
        <v>1809</v>
      </c>
      <c r="L3623" t="str">
        <f>HYPERLINK("https://business-monitor.ch/de/companies/971191-visionite-gmbh?utm_source=oberaargau","PROFIL ANSEHEN")</f>
        <v>PROFIL ANSEHEN</v>
      </c>
    </row>
    <row r="3624" spans="1:12" x14ac:dyDescent="0.2">
      <c r="A3624" t="s">
        <v>13708</v>
      </c>
      <c r="B3624" t="s">
        <v>13709</v>
      </c>
      <c r="C3624" t="s">
        <v>1812</v>
      </c>
      <c r="E3624" t="s">
        <v>13710</v>
      </c>
      <c r="F3624">
        <v>4900</v>
      </c>
      <c r="G3624" t="s">
        <v>41</v>
      </c>
      <c r="H3624" t="s">
        <v>16</v>
      </c>
      <c r="I3624" t="s">
        <v>1835</v>
      </c>
      <c r="J3624" t="s">
        <v>1836</v>
      </c>
      <c r="K3624" t="s">
        <v>1809</v>
      </c>
      <c r="L3624" t="str">
        <f>HYPERLINK("https://business-monitor.ch/de/companies/1254485-penaloza-reinigung?utm_source=oberaargau","PROFIL ANSEHEN")</f>
        <v>PROFIL ANSEHEN</v>
      </c>
    </row>
    <row r="3625" spans="1:12" x14ac:dyDescent="0.2">
      <c r="A3625" t="s">
        <v>6081</v>
      </c>
      <c r="B3625" t="s">
        <v>6082</v>
      </c>
      <c r="C3625" t="s">
        <v>1812</v>
      </c>
      <c r="E3625" t="s">
        <v>6083</v>
      </c>
      <c r="F3625">
        <v>4922</v>
      </c>
      <c r="G3625" t="s">
        <v>1318</v>
      </c>
      <c r="H3625" t="s">
        <v>16</v>
      </c>
      <c r="I3625" t="s">
        <v>24</v>
      </c>
      <c r="J3625" t="s">
        <v>25</v>
      </c>
      <c r="K3625" t="s">
        <v>1809</v>
      </c>
      <c r="L3625" t="str">
        <f>HYPERLINK("https://business-monitor.ch/de/companies/411497-boell-consulting?utm_source=oberaargau","PROFIL ANSEHEN")</f>
        <v>PROFIL ANSEHEN</v>
      </c>
    </row>
    <row r="3626" spans="1:12" x14ac:dyDescent="0.2">
      <c r="A3626" t="s">
        <v>12464</v>
      </c>
      <c r="B3626" t="s">
        <v>12465</v>
      </c>
      <c r="C3626" t="s">
        <v>13</v>
      </c>
      <c r="D3626" t="s">
        <v>12466</v>
      </c>
      <c r="E3626" t="s">
        <v>6859</v>
      </c>
      <c r="F3626">
        <v>4900</v>
      </c>
      <c r="G3626" t="s">
        <v>41</v>
      </c>
      <c r="H3626" t="s">
        <v>16</v>
      </c>
      <c r="I3626" t="s">
        <v>186</v>
      </c>
      <c r="J3626" t="s">
        <v>187</v>
      </c>
      <c r="K3626" t="s">
        <v>1809</v>
      </c>
      <c r="L3626" t="str">
        <f>HYPERLINK("https://business-monitor.ch/de/companies/1212491-rabola-ag?utm_source=oberaargau","PROFIL ANSEHEN")</f>
        <v>PROFIL ANSEHEN</v>
      </c>
    </row>
    <row r="3627" spans="1:12" x14ac:dyDescent="0.2">
      <c r="A3627" t="s">
        <v>14107</v>
      </c>
      <c r="B3627" t="s">
        <v>14108</v>
      </c>
      <c r="C3627" t="s">
        <v>1812</v>
      </c>
      <c r="E3627" t="s">
        <v>14109</v>
      </c>
      <c r="F3627">
        <v>3377</v>
      </c>
      <c r="G3627" t="s">
        <v>1307</v>
      </c>
      <c r="H3627" t="s">
        <v>16</v>
      </c>
      <c r="I3627" t="s">
        <v>340</v>
      </c>
      <c r="J3627" t="s">
        <v>341</v>
      </c>
      <c r="K3627" t="s">
        <v>1809</v>
      </c>
      <c r="L3627" t="str">
        <f>HYPERLINK("https://business-monitor.ch/de/companies/1285757-online-marketing-vertrieb-haring?utm_source=oberaargau","PROFIL ANSEHEN")</f>
        <v>PROFIL ANSEHEN</v>
      </c>
    </row>
    <row r="3628" spans="1:12" x14ac:dyDescent="0.2">
      <c r="A3628" t="s">
        <v>12675</v>
      </c>
      <c r="B3628" t="s">
        <v>12676</v>
      </c>
      <c r="C3628" t="s">
        <v>1812</v>
      </c>
      <c r="E3628" t="s">
        <v>4526</v>
      </c>
      <c r="F3628">
        <v>4923</v>
      </c>
      <c r="G3628" t="s">
        <v>732</v>
      </c>
      <c r="H3628" t="s">
        <v>16</v>
      </c>
      <c r="I3628" t="s">
        <v>1097</v>
      </c>
      <c r="J3628" t="s">
        <v>1098</v>
      </c>
      <c r="K3628" t="s">
        <v>1809</v>
      </c>
      <c r="L3628" t="str">
        <f>HYPERLINK("https://business-monitor.ch/de/companies/1208667-andrea-huber?utm_source=oberaargau","PROFIL ANSEHEN")</f>
        <v>PROFIL ANSEHEN</v>
      </c>
    </row>
    <row r="3629" spans="1:12" x14ac:dyDescent="0.2">
      <c r="A3629" t="s">
        <v>6411</v>
      </c>
      <c r="B3629" t="s">
        <v>6412</v>
      </c>
      <c r="C3629" t="s">
        <v>1922</v>
      </c>
      <c r="D3629" t="s">
        <v>6413</v>
      </c>
      <c r="E3629" t="s">
        <v>6414</v>
      </c>
      <c r="F3629">
        <v>4912</v>
      </c>
      <c r="G3629" t="s">
        <v>64</v>
      </c>
      <c r="H3629" t="s">
        <v>16</v>
      </c>
      <c r="I3629" t="s">
        <v>6415</v>
      </c>
      <c r="J3629" t="s">
        <v>6416</v>
      </c>
      <c r="K3629" t="s">
        <v>1809</v>
      </c>
      <c r="L3629" t="str">
        <f>HYPERLINK("https://business-monitor.ch/de/companies/288339-stiftung-altes-schuetzenhaus-aarwangen?utm_source=oberaargau","PROFIL ANSEHEN")</f>
        <v>PROFIL ANSEHEN</v>
      </c>
    </row>
    <row r="3630" spans="1:12" x14ac:dyDescent="0.2">
      <c r="A3630" t="s">
        <v>8546</v>
      </c>
      <c r="B3630" t="s">
        <v>8547</v>
      </c>
      <c r="C3630" t="s">
        <v>202</v>
      </c>
      <c r="E3630" t="s">
        <v>11649</v>
      </c>
      <c r="F3630">
        <v>3367</v>
      </c>
      <c r="G3630" t="s">
        <v>455</v>
      </c>
      <c r="H3630" t="s">
        <v>16</v>
      </c>
      <c r="I3630" t="s">
        <v>642</v>
      </c>
      <c r="J3630" t="s">
        <v>643</v>
      </c>
      <c r="K3630" t="s">
        <v>1809</v>
      </c>
      <c r="L3630" t="str">
        <f>HYPERLINK("https://business-monitor.ch/de/companies/493136-abschleppfix-gmbh?utm_source=oberaargau","PROFIL ANSEHEN")</f>
        <v>PROFIL ANSEHEN</v>
      </c>
    </row>
    <row r="3631" spans="1:12" x14ac:dyDescent="0.2">
      <c r="A3631" t="s">
        <v>6203</v>
      </c>
      <c r="B3631" t="s">
        <v>6204</v>
      </c>
      <c r="C3631" t="s">
        <v>13</v>
      </c>
      <c r="E3631" t="s">
        <v>6205</v>
      </c>
      <c r="F3631">
        <v>4922</v>
      </c>
      <c r="G3631" t="s">
        <v>99</v>
      </c>
      <c r="H3631" t="s">
        <v>16</v>
      </c>
      <c r="I3631" t="s">
        <v>2231</v>
      </c>
      <c r="J3631" t="s">
        <v>2232</v>
      </c>
      <c r="K3631" t="s">
        <v>1809</v>
      </c>
      <c r="L3631" t="str">
        <f>HYPERLINK("https://business-monitor.ch/de/companies/373256-malerei-baertschi-ag?utm_source=oberaargau","PROFIL ANSEHEN")</f>
        <v>PROFIL ANSEHEN</v>
      </c>
    </row>
    <row r="3632" spans="1:12" x14ac:dyDescent="0.2">
      <c r="A3632" t="s">
        <v>12489</v>
      </c>
      <c r="B3632" t="s">
        <v>14306</v>
      </c>
      <c r="C3632" t="s">
        <v>202</v>
      </c>
      <c r="E3632" t="s">
        <v>5499</v>
      </c>
      <c r="F3632">
        <v>4914</v>
      </c>
      <c r="G3632" t="s">
        <v>105</v>
      </c>
      <c r="H3632" t="s">
        <v>16</v>
      </c>
      <c r="I3632" t="s">
        <v>1860</v>
      </c>
      <c r="J3632" t="s">
        <v>1861</v>
      </c>
      <c r="K3632" t="s">
        <v>1809</v>
      </c>
      <c r="L3632" t="str">
        <f>HYPERLINK("https://business-monitor.ch/de/companies/1212582-top-holding-gmbh?utm_source=oberaargau","PROFIL ANSEHEN")</f>
        <v>PROFIL ANSEHEN</v>
      </c>
    </row>
    <row r="3633" spans="1:12" x14ac:dyDescent="0.2">
      <c r="A3633" t="s">
        <v>184</v>
      </c>
      <c r="B3633" t="s">
        <v>12783</v>
      </c>
      <c r="C3633" t="s">
        <v>202</v>
      </c>
      <c r="E3633" t="s">
        <v>879</v>
      </c>
      <c r="F3633">
        <v>3360</v>
      </c>
      <c r="G3633" t="s">
        <v>35</v>
      </c>
      <c r="H3633" t="s">
        <v>16</v>
      </c>
      <c r="I3633" t="s">
        <v>7350</v>
      </c>
      <c r="J3633" t="s">
        <v>7351</v>
      </c>
      <c r="K3633" t="s">
        <v>1809</v>
      </c>
      <c r="L3633" t="str">
        <f>HYPERLINK("https://business-monitor.ch/de/companies/260708-fuchs-services-gmbh?utm_source=oberaargau","PROFIL ANSEHEN")</f>
        <v>PROFIL ANSEHEN</v>
      </c>
    </row>
    <row r="3634" spans="1:12" x14ac:dyDescent="0.2">
      <c r="A3634" t="s">
        <v>13261</v>
      </c>
      <c r="B3634" t="s">
        <v>13262</v>
      </c>
      <c r="C3634" t="s">
        <v>1812</v>
      </c>
      <c r="E3634" t="s">
        <v>9819</v>
      </c>
      <c r="F3634">
        <v>4922</v>
      </c>
      <c r="G3634" t="s">
        <v>99</v>
      </c>
      <c r="H3634" t="s">
        <v>16</v>
      </c>
      <c r="I3634" t="s">
        <v>824</v>
      </c>
      <c r="J3634" t="s">
        <v>825</v>
      </c>
      <c r="K3634" t="s">
        <v>1809</v>
      </c>
      <c r="L3634" t="str">
        <f>HYPERLINK("https://business-monitor.ch/de/companies/1242050-duglotsang-su-mo-day-asiatisches-restaurant-take-away?utm_source=oberaargau","PROFIL ANSEHEN")</f>
        <v>PROFIL ANSEHEN</v>
      </c>
    </row>
    <row r="3635" spans="1:12" x14ac:dyDescent="0.2">
      <c r="A3635" t="s">
        <v>11315</v>
      </c>
      <c r="B3635" t="s">
        <v>11316</v>
      </c>
      <c r="C3635" t="s">
        <v>1922</v>
      </c>
      <c r="D3635" t="s">
        <v>5218</v>
      </c>
      <c r="E3635" t="s">
        <v>5219</v>
      </c>
      <c r="F3635">
        <v>4900</v>
      </c>
      <c r="G3635" t="s">
        <v>41</v>
      </c>
      <c r="H3635" t="s">
        <v>16</v>
      </c>
      <c r="I3635" t="s">
        <v>2849</v>
      </c>
      <c r="J3635" t="s">
        <v>2850</v>
      </c>
      <c r="K3635" t="s">
        <v>1809</v>
      </c>
      <c r="L3635" t="str">
        <f>HYPERLINK("https://business-monitor.ch/de/companies/1133424-fondation-lantana?utm_source=oberaargau","PROFIL ANSEHEN")</f>
        <v>PROFIL ANSEHEN</v>
      </c>
    </row>
    <row r="3636" spans="1:12" x14ac:dyDescent="0.2">
      <c r="A3636" t="s">
        <v>9133</v>
      </c>
      <c r="B3636" t="s">
        <v>9134</v>
      </c>
      <c r="C3636" t="s">
        <v>84</v>
      </c>
      <c r="D3636" t="s">
        <v>9135</v>
      </c>
      <c r="E3636" t="s">
        <v>11693</v>
      </c>
      <c r="F3636">
        <v>4938</v>
      </c>
      <c r="G3636" t="s">
        <v>1909</v>
      </c>
      <c r="H3636" t="s">
        <v>16</v>
      </c>
      <c r="I3636" t="s">
        <v>640</v>
      </c>
      <c r="J3636" t="s">
        <v>641</v>
      </c>
      <c r="K3636" t="s">
        <v>1809</v>
      </c>
      <c r="L3636" t="str">
        <f>HYPERLINK("https://business-monitor.ch/de/companies/171649-kaesereigenossenschaft-ganzenberg?utm_source=oberaargau","PROFIL ANSEHEN")</f>
        <v>PROFIL ANSEHEN</v>
      </c>
    </row>
    <row r="3637" spans="1:12" x14ac:dyDescent="0.2">
      <c r="A3637" t="s">
        <v>6459</v>
      </c>
      <c r="B3637" t="s">
        <v>6460</v>
      </c>
      <c r="C3637" t="s">
        <v>202</v>
      </c>
      <c r="E3637" t="s">
        <v>241</v>
      </c>
      <c r="F3637">
        <v>4900</v>
      </c>
      <c r="G3637" t="s">
        <v>41</v>
      </c>
      <c r="H3637" t="s">
        <v>16</v>
      </c>
      <c r="I3637" t="s">
        <v>91</v>
      </c>
      <c r="J3637" t="s">
        <v>92</v>
      </c>
      <c r="K3637" t="s">
        <v>1809</v>
      </c>
      <c r="L3637" t="str">
        <f>HYPERLINK("https://business-monitor.ch/de/companies/269248-lem-consulting-gmbh?utm_source=oberaargau","PROFIL ANSEHEN")</f>
        <v>PROFIL ANSEHEN</v>
      </c>
    </row>
    <row r="3638" spans="1:12" x14ac:dyDescent="0.2">
      <c r="A3638" t="s">
        <v>3871</v>
      </c>
      <c r="B3638" t="s">
        <v>3872</v>
      </c>
      <c r="C3638" t="s">
        <v>1812</v>
      </c>
      <c r="E3638" t="s">
        <v>3873</v>
      </c>
      <c r="F3638">
        <v>4934</v>
      </c>
      <c r="G3638" t="s">
        <v>670</v>
      </c>
      <c r="H3638" t="s">
        <v>16</v>
      </c>
      <c r="I3638" t="s">
        <v>642</v>
      </c>
      <c r="J3638" t="s">
        <v>643</v>
      </c>
      <c r="K3638" t="s">
        <v>1809</v>
      </c>
      <c r="L3638" t="str">
        <f>HYPERLINK("https://business-monitor.ch/de/companies/954218-garage-baur?utm_source=oberaargau","PROFIL ANSEHEN")</f>
        <v>PROFIL ANSEHEN</v>
      </c>
    </row>
    <row r="3639" spans="1:12" x14ac:dyDescent="0.2">
      <c r="A3639" t="s">
        <v>8179</v>
      </c>
      <c r="B3639" t="s">
        <v>8180</v>
      </c>
      <c r="C3639" t="s">
        <v>1812</v>
      </c>
      <c r="E3639" t="s">
        <v>8181</v>
      </c>
      <c r="F3639">
        <v>3367</v>
      </c>
      <c r="G3639" t="s">
        <v>455</v>
      </c>
      <c r="H3639" t="s">
        <v>16</v>
      </c>
      <c r="I3639" t="s">
        <v>1860</v>
      </c>
      <c r="J3639" t="s">
        <v>1861</v>
      </c>
      <c r="K3639" t="s">
        <v>1809</v>
      </c>
      <c r="L3639" t="str">
        <f>HYPERLINK("https://business-monitor.ch/de/companies/173770-coiffeursalon-bruegger?utm_source=oberaargau","PROFIL ANSEHEN")</f>
        <v>PROFIL ANSEHEN</v>
      </c>
    </row>
    <row r="3640" spans="1:12" x14ac:dyDescent="0.2">
      <c r="A3640" t="s">
        <v>3448</v>
      </c>
      <c r="B3640" t="s">
        <v>3449</v>
      </c>
      <c r="C3640" t="s">
        <v>1812</v>
      </c>
      <c r="E3640" t="s">
        <v>3450</v>
      </c>
      <c r="F3640">
        <v>3367</v>
      </c>
      <c r="G3640" t="s">
        <v>455</v>
      </c>
      <c r="H3640" t="s">
        <v>16</v>
      </c>
      <c r="I3640" t="s">
        <v>1898</v>
      </c>
      <c r="J3640" t="s">
        <v>1899</v>
      </c>
      <c r="K3640" t="s">
        <v>1809</v>
      </c>
      <c r="L3640" t="str">
        <f>HYPERLINK("https://business-monitor.ch/de/companies/173902-thomas-ruch-eggenschwiler?utm_source=oberaargau","PROFIL ANSEHEN")</f>
        <v>PROFIL ANSEHEN</v>
      </c>
    </row>
    <row r="3641" spans="1:12" x14ac:dyDescent="0.2">
      <c r="A3641" t="s">
        <v>1041</v>
      </c>
      <c r="B3641" t="s">
        <v>9033</v>
      </c>
      <c r="C3641" t="s">
        <v>202</v>
      </c>
      <c r="E3641" t="s">
        <v>9034</v>
      </c>
      <c r="F3641">
        <v>4536</v>
      </c>
      <c r="G3641" t="s">
        <v>1395</v>
      </c>
      <c r="H3641" t="s">
        <v>16</v>
      </c>
      <c r="I3641" t="s">
        <v>298</v>
      </c>
      <c r="J3641" t="s">
        <v>299</v>
      </c>
      <c r="K3641" t="s">
        <v>1809</v>
      </c>
      <c r="L3641" t="str">
        <f>HYPERLINK("https://business-monitor.ch/de/companies/218437-hama-pack-gmbh?utm_source=oberaargau","PROFIL ANSEHEN")</f>
        <v>PROFIL ANSEHEN</v>
      </c>
    </row>
    <row r="3642" spans="1:12" x14ac:dyDescent="0.2">
      <c r="A3642" t="s">
        <v>3356</v>
      </c>
      <c r="B3642" t="s">
        <v>3357</v>
      </c>
      <c r="C3642" t="s">
        <v>202</v>
      </c>
      <c r="E3642" t="s">
        <v>2066</v>
      </c>
      <c r="F3642">
        <v>4900</v>
      </c>
      <c r="G3642" t="s">
        <v>41</v>
      </c>
      <c r="H3642" t="s">
        <v>16</v>
      </c>
      <c r="I3642" t="s">
        <v>1401</v>
      </c>
      <c r="J3642" t="s">
        <v>1402</v>
      </c>
      <c r="K3642" t="s">
        <v>1809</v>
      </c>
      <c r="L3642" t="str">
        <f>HYPERLINK("https://business-monitor.ch/de/companies/209378-aebi-s-blumenparadies-gmbh?utm_source=oberaargau","PROFIL ANSEHEN")</f>
        <v>PROFIL ANSEHEN</v>
      </c>
    </row>
    <row r="3643" spans="1:12" x14ac:dyDescent="0.2">
      <c r="A3643" t="s">
        <v>5186</v>
      </c>
      <c r="B3643" t="s">
        <v>6461</v>
      </c>
      <c r="C3643" t="s">
        <v>13</v>
      </c>
      <c r="E3643" t="s">
        <v>6462</v>
      </c>
      <c r="F3643">
        <v>4900</v>
      </c>
      <c r="G3643" t="s">
        <v>41</v>
      </c>
      <c r="H3643" t="s">
        <v>16</v>
      </c>
      <c r="I3643" t="s">
        <v>232</v>
      </c>
      <c r="J3643" t="s">
        <v>233</v>
      </c>
      <c r="K3643" t="s">
        <v>1809</v>
      </c>
      <c r="L3643" t="str">
        <f>HYPERLINK("https://business-monitor.ch/de/companies/266744-bsv-treuhand-ag?utm_source=oberaargau","PROFIL ANSEHEN")</f>
        <v>PROFIL ANSEHEN</v>
      </c>
    </row>
    <row r="3644" spans="1:12" x14ac:dyDescent="0.2">
      <c r="A3644" t="s">
        <v>2464</v>
      </c>
      <c r="B3644" t="s">
        <v>2465</v>
      </c>
      <c r="C3644" t="s">
        <v>1812</v>
      </c>
      <c r="E3644" t="s">
        <v>2466</v>
      </c>
      <c r="F3644">
        <v>3373</v>
      </c>
      <c r="G3644" t="s">
        <v>2429</v>
      </c>
      <c r="H3644" t="s">
        <v>16</v>
      </c>
      <c r="I3644" t="s">
        <v>824</v>
      </c>
      <c r="J3644" t="s">
        <v>825</v>
      </c>
      <c r="K3644" t="s">
        <v>1809</v>
      </c>
      <c r="L3644" t="str">
        <f>HYPERLINK("https://business-monitor.ch/de/companies/1058870-therese-anita-heiniger-muhmenthaler?utm_source=oberaargau","PROFIL ANSEHEN")</f>
        <v>PROFIL ANSEHEN</v>
      </c>
    </row>
    <row r="3645" spans="1:12" x14ac:dyDescent="0.2">
      <c r="A3645" t="s">
        <v>7007</v>
      </c>
      <c r="B3645" t="s">
        <v>7008</v>
      </c>
      <c r="C3645" t="s">
        <v>1812</v>
      </c>
      <c r="E3645" t="s">
        <v>4125</v>
      </c>
      <c r="F3645">
        <v>3380</v>
      </c>
      <c r="G3645" t="s">
        <v>29</v>
      </c>
      <c r="H3645" t="s">
        <v>16</v>
      </c>
      <c r="I3645" t="s">
        <v>613</v>
      </c>
      <c r="J3645" t="s">
        <v>614</v>
      </c>
      <c r="K3645" t="s">
        <v>1809</v>
      </c>
      <c r="L3645" t="str">
        <f>HYPERLINK("https://business-monitor.ch/de/companies/981603-velocenter-k-stettler?utm_source=oberaargau","PROFIL ANSEHEN")</f>
        <v>PROFIL ANSEHEN</v>
      </c>
    </row>
    <row r="3646" spans="1:12" x14ac:dyDescent="0.2">
      <c r="A3646" t="s">
        <v>3175</v>
      </c>
      <c r="B3646" t="s">
        <v>10483</v>
      </c>
      <c r="C3646" t="s">
        <v>13</v>
      </c>
      <c r="E3646" t="s">
        <v>4080</v>
      </c>
      <c r="F3646">
        <v>3360</v>
      </c>
      <c r="G3646" t="s">
        <v>35</v>
      </c>
      <c r="H3646" t="s">
        <v>16</v>
      </c>
      <c r="I3646" t="s">
        <v>157</v>
      </c>
      <c r="J3646" t="s">
        <v>158</v>
      </c>
      <c r="K3646" t="s">
        <v>1809</v>
      </c>
      <c r="L3646" t="str">
        <f>HYPERLINK("https://business-monitor.ch/de/companies/296326-home-for-life-ag?utm_source=oberaargau","PROFIL ANSEHEN")</f>
        <v>PROFIL ANSEHEN</v>
      </c>
    </row>
    <row r="3647" spans="1:12" x14ac:dyDescent="0.2">
      <c r="A3647" t="s">
        <v>8453</v>
      </c>
      <c r="B3647" t="s">
        <v>8454</v>
      </c>
      <c r="C3647" t="s">
        <v>13</v>
      </c>
      <c r="E3647" t="s">
        <v>8455</v>
      </c>
      <c r="F3647">
        <v>3360</v>
      </c>
      <c r="G3647" t="s">
        <v>35</v>
      </c>
      <c r="H3647" t="s">
        <v>16</v>
      </c>
      <c r="I3647" t="s">
        <v>1171</v>
      </c>
      <c r="J3647" t="s">
        <v>1172</v>
      </c>
      <c r="K3647" t="s">
        <v>1809</v>
      </c>
      <c r="L3647" t="str">
        <f>HYPERLINK("https://business-monitor.ch/de/companies/150109-k-w-ag-fuer-temporaer-und-dauerstellen?utm_source=oberaargau","PROFIL ANSEHEN")</f>
        <v>PROFIL ANSEHEN</v>
      </c>
    </row>
    <row r="3648" spans="1:12" x14ac:dyDescent="0.2">
      <c r="A3648" t="s">
        <v>5493</v>
      </c>
      <c r="B3648" t="s">
        <v>5494</v>
      </c>
      <c r="C3648" t="s">
        <v>1812</v>
      </c>
      <c r="E3648" t="s">
        <v>5495</v>
      </c>
      <c r="F3648">
        <v>4912</v>
      </c>
      <c r="G3648" t="s">
        <v>64</v>
      </c>
      <c r="H3648" t="s">
        <v>16</v>
      </c>
      <c r="I3648" t="s">
        <v>570</v>
      </c>
      <c r="J3648" t="s">
        <v>571</v>
      </c>
      <c r="K3648" t="s">
        <v>1809</v>
      </c>
      <c r="L3648" t="str">
        <f>HYPERLINK("https://business-monitor.ch/de/companies/145529-bigler-heizungen?utm_source=oberaargau","PROFIL ANSEHEN")</f>
        <v>PROFIL ANSEHEN</v>
      </c>
    </row>
    <row r="3649" spans="1:12" x14ac:dyDescent="0.2">
      <c r="A3649" t="s">
        <v>3276</v>
      </c>
      <c r="B3649" t="s">
        <v>3277</v>
      </c>
      <c r="C3649" t="s">
        <v>13</v>
      </c>
      <c r="D3649" t="s">
        <v>3278</v>
      </c>
      <c r="E3649" t="s">
        <v>3279</v>
      </c>
      <c r="F3649">
        <v>4900</v>
      </c>
      <c r="G3649" t="s">
        <v>41</v>
      </c>
      <c r="H3649" t="s">
        <v>16</v>
      </c>
      <c r="I3649" t="s">
        <v>182</v>
      </c>
      <c r="J3649" t="s">
        <v>183</v>
      </c>
      <c r="K3649" t="s">
        <v>1809</v>
      </c>
      <c r="L3649" t="str">
        <f>HYPERLINK("https://business-monitor.ch/de/companies/248309-sela-holding-ag?utm_source=oberaargau","PROFIL ANSEHEN")</f>
        <v>PROFIL ANSEHEN</v>
      </c>
    </row>
    <row r="3650" spans="1:12" x14ac:dyDescent="0.2">
      <c r="A3650" t="s">
        <v>9739</v>
      </c>
      <c r="B3650" t="s">
        <v>9740</v>
      </c>
      <c r="C3650" t="s">
        <v>13</v>
      </c>
      <c r="D3650" t="s">
        <v>9741</v>
      </c>
      <c r="E3650" t="s">
        <v>9742</v>
      </c>
      <c r="F3650">
        <v>4943</v>
      </c>
      <c r="G3650" t="s">
        <v>1022</v>
      </c>
      <c r="H3650" t="s">
        <v>16</v>
      </c>
      <c r="I3650" t="s">
        <v>966</v>
      </c>
      <c r="J3650" t="s">
        <v>967</v>
      </c>
      <c r="K3650" t="s">
        <v>1809</v>
      </c>
      <c r="L3650" t="str">
        <f>HYPERLINK("https://business-monitor.ch/de/companies/1034271-vr-christen-ag?utm_source=oberaargau","PROFIL ANSEHEN")</f>
        <v>PROFIL ANSEHEN</v>
      </c>
    </row>
    <row r="3651" spans="1:12" x14ac:dyDescent="0.2">
      <c r="A3651" t="s">
        <v>2923</v>
      </c>
      <c r="B3651" t="s">
        <v>2924</v>
      </c>
      <c r="C3651" t="s">
        <v>202</v>
      </c>
      <c r="E3651" t="s">
        <v>2925</v>
      </c>
      <c r="F3651">
        <v>4922</v>
      </c>
      <c r="G3651" t="s">
        <v>99</v>
      </c>
      <c r="H3651" t="s">
        <v>16</v>
      </c>
      <c r="I3651" t="s">
        <v>966</v>
      </c>
      <c r="J3651" t="s">
        <v>967</v>
      </c>
      <c r="K3651" t="s">
        <v>1809</v>
      </c>
      <c r="L3651" t="str">
        <f>HYPERLINK("https://business-monitor.ch/de/companies/1063632-mba-bauprofis-gmbh?utm_source=oberaargau","PROFIL ANSEHEN")</f>
        <v>PROFIL ANSEHEN</v>
      </c>
    </row>
    <row r="3652" spans="1:12" x14ac:dyDescent="0.2">
      <c r="A3652" t="s">
        <v>8428</v>
      </c>
      <c r="B3652" t="s">
        <v>8429</v>
      </c>
      <c r="C3652" t="s">
        <v>1812</v>
      </c>
      <c r="E3652" t="s">
        <v>1917</v>
      </c>
      <c r="F3652">
        <v>4537</v>
      </c>
      <c r="G3652" t="s">
        <v>113</v>
      </c>
      <c r="H3652" t="s">
        <v>16</v>
      </c>
      <c r="I3652" t="s">
        <v>1918</v>
      </c>
      <c r="J3652" t="s">
        <v>1919</v>
      </c>
      <c r="K3652" t="s">
        <v>1809</v>
      </c>
      <c r="L3652" t="str">
        <f>HYPERLINK("https://business-monitor.ch/de/companies/1058888-sollberger-jun-uhren-optik?utm_source=oberaargau","PROFIL ANSEHEN")</f>
        <v>PROFIL ANSEHEN</v>
      </c>
    </row>
    <row r="3653" spans="1:12" x14ac:dyDescent="0.2">
      <c r="A3653" t="s">
        <v>7495</v>
      </c>
      <c r="B3653" t="s">
        <v>7496</v>
      </c>
      <c r="C3653" t="s">
        <v>202</v>
      </c>
      <c r="E3653" t="s">
        <v>9534</v>
      </c>
      <c r="F3653">
        <v>4537</v>
      </c>
      <c r="G3653" t="s">
        <v>113</v>
      </c>
      <c r="H3653" t="s">
        <v>16</v>
      </c>
      <c r="I3653" t="s">
        <v>935</v>
      </c>
      <c r="J3653" t="s">
        <v>936</v>
      </c>
      <c r="K3653" t="s">
        <v>1809</v>
      </c>
      <c r="L3653" t="str">
        <f>HYPERLINK("https://business-monitor.ch/de/companies/726577-real-immo-bau-gmbh?utm_source=oberaargau","PROFIL ANSEHEN")</f>
        <v>PROFIL ANSEHEN</v>
      </c>
    </row>
    <row r="3654" spans="1:12" x14ac:dyDescent="0.2">
      <c r="A3654" t="s">
        <v>12384</v>
      </c>
      <c r="B3654" t="s">
        <v>12385</v>
      </c>
      <c r="C3654" t="s">
        <v>1812</v>
      </c>
      <c r="E3654" t="s">
        <v>12386</v>
      </c>
      <c r="F3654">
        <v>3360</v>
      </c>
      <c r="G3654" t="s">
        <v>35</v>
      </c>
      <c r="H3654" t="s">
        <v>16</v>
      </c>
      <c r="I3654" t="s">
        <v>642</v>
      </c>
      <c r="J3654" t="s">
        <v>643</v>
      </c>
      <c r="K3654" t="s">
        <v>1809</v>
      </c>
      <c r="L3654" t="str">
        <f>HYPERLINK("https://business-monitor.ch/de/companies/985569-jahiu-parts?utm_source=oberaargau","PROFIL ANSEHEN")</f>
        <v>PROFIL ANSEHEN</v>
      </c>
    </row>
    <row r="3655" spans="1:12" x14ac:dyDescent="0.2">
      <c r="A3655" t="s">
        <v>8283</v>
      </c>
      <c r="B3655" t="s">
        <v>8284</v>
      </c>
      <c r="C3655" t="s">
        <v>1812</v>
      </c>
      <c r="E3655" t="s">
        <v>8285</v>
      </c>
      <c r="F3655">
        <v>4537</v>
      </c>
      <c r="G3655" t="s">
        <v>113</v>
      </c>
      <c r="H3655" t="s">
        <v>16</v>
      </c>
      <c r="I3655" t="s">
        <v>824</v>
      </c>
      <c r="J3655" t="s">
        <v>825</v>
      </c>
      <c r="K3655" t="s">
        <v>1809</v>
      </c>
      <c r="L3655" t="str">
        <f>HYPERLINK("https://business-monitor.ch/de/companies/1065306-restaurant-post-j-kilchenmann?utm_source=oberaargau","PROFIL ANSEHEN")</f>
        <v>PROFIL ANSEHEN</v>
      </c>
    </row>
    <row r="3656" spans="1:12" x14ac:dyDescent="0.2">
      <c r="A3656" t="s">
        <v>7197</v>
      </c>
      <c r="B3656" t="s">
        <v>7198</v>
      </c>
      <c r="C3656" t="s">
        <v>13</v>
      </c>
      <c r="E3656" t="s">
        <v>7199</v>
      </c>
      <c r="F3656">
        <v>4912</v>
      </c>
      <c r="G3656" t="s">
        <v>64</v>
      </c>
      <c r="H3656" t="s">
        <v>16</v>
      </c>
      <c r="I3656" t="s">
        <v>191</v>
      </c>
      <c r="J3656" t="s">
        <v>192</v>
      </c>
      <c r="K3656" t="s">
        <v>1809</v>
      </c>
      <c r="L3656" t="str">
        <f>HYPERLINK("https://business-monitor.ch/de/companies/1045236-aebi-swiss-ag?utm_source=oberaargau","PROFIL ANSEHEN")</f>
        <v>PROFIL ANSEHEN</v>
      </c>
    </row>
    <row r="3657" spans="1:12" x14ac:dyDescent="0.2">
      <c r="A3657" t="s">
        <v>5618</v>
      </c>
      <c r="B3657" t="s">
        <v>5619</v>
      </c>
      <c r="C3657" t="s">
        <v>202</v>
      </c>
      <c r="D3657" t="s">
        <v>5620</v>
      </c>
      <c r="E3657" t="s">
        <v>5621</v>
      </c>
      <c r="F3657">
        <v>4934</v>
      </c>
      <c r="G3657" t="s">
        <v>670</v>
      </c>
      <c r="H3657" t="s">
        <v>16</v>
      </c>
      <c r="I3657" t="s">
        <v>551</v>
      </c>
      <c r="J3657" t="s">
        <v>552</v>
      </c>
      <c r="K3657" t="s">
        <v>1809</v>
      </c>
      <c r="L3657" t="str">
        <f>HYPERLINK("https://business-monitor.ch/de/companies/500131-hpmue-gmbh?utm_source=oberaargau","PROFIL ANSEHEN")</f>
        <v>PROFIL ANSEHEN</v>
      </c>
    </row>
    <row r="3658" spans="1:12" x14ac:dyDescent="0.2">
      <c r="A3658" t="s">
        <v>5616</v>
      </c>
      <c r="B3658" t="s">
        <v>5617</v>
      </c>
      <c r="C3658" t="s">
        <v>1812</v>
      </c>
      <c r="E3658" t="s">
        <v>3811</v>
      </c>
      <c r="F3658">
        <v>4933</v>
      </c>
      <c r="G3658" t="s">
        <v>3812</v>
      </c>
      <c r="H3658" t="s">
        <v>16</v>
      </c>
      <c r="I3658" t="s">
        <v>2128</v>
      </c>
      <c r="J3658" t="s">
        <v>2129</v>
      </c>
      <c r="K3658" t="s">
        <v>1809</v>
      </c>
      <c r="L3658" t="str">
        <f>HYPERLINK("https://business-monitor.ch/de/companies/500210-creaart-fiechter?utm_source=oberaargau","PROFIL ANSEHEN")</f>
        <v>PROFIL ANSEHEN</v>
      </c>
    </row>
    <row r="3659" spans="1:12" x14ac:dyDescent="0.2">
      <c r="A3659" t="s">
        <v>13653</v>
      </c>
      <c r="B3659" t="s">
        <v>13654</v>
      </c>
      <c r="C3659" t="s">
        <v>1812</v>
      </c>
      <c r="E3659" t="s">
        <v>4314</v>
      </c>
      <c r="F3659">
        <v>4536</v>
      </c>
      <c r="G3659" t="s">
        <v>1395</v>
      </c>
      <c r="H3659" t="s">
        <v>16</v>
      </c>
      <c r="I3659" t="s">
        <v>824</v>
      </c>
      <c r="J3659" t="s">
        <v>825</v>
      </c>
      <c r="K3659" t="s">
        <v>1809</v>
      </c>
      <c r="L3659" t="str">
        <f>HYPERLINK("https://business-monitor.ch/de/companies/1267135-sueessli-inh-acat?utm_source=oberaargau","PROFIL ANSEHEN")</f>
        <v>PROFIL ANSEHEN</v>
      </c>
    </row>
    <row r="3660" spans="1:12" x14ac:dyDescent="0.2">
      <c r="A3660" t="s">
        <v>9069</v>
      </c>
      <c r="B3660" t="s">
        <v>9070</v>
      </c>
      <c r="C3660" t="s">
        <v>13</v>
      </c>
      <c r="E3660" t="s">
        <v>12755</v>
      </c>
      <c r="F3660">
        <v>4944</v>
      </c>
      <c r="G3660" t="s">
        <v>1176</v>
      </c>
      <c r="H3660" t="s">
        <v>16</v>
      </c>
      <c r="I3660" t="s">
        <v>182</v>
      </c>
      <c r="J3660" t="s">
        <v>183</v>
      </c>
      <c r="K3660" t="s">
        <v>1809</v>
      </c>
      <c r="L3660" t="str">
        <f>HYPERLINK("https://business-monitor.ch/de/companies/181463-flueckiger-holding-ag?utm_source=oberaargau","PROFIL ANSEHEN")</f>
        <v>PROFIL ANSEHEN</v>
      </c>
    </row>
    <row r="3661" spans="1:12" x14ac:dyDescent="0.2">
      <c r="A3661" t="s">
        <v>2781</v>
      </c>
      <c r="B3661" t="s">
        <v>2782</v>
      </c>
      <c r="C3661" t="s">
        <v>202</v>
      </c>
      <c r="E3661" t="s">
        <v>2169</v>
      </c>
      <c r="F3661">
        <v>4914</v>
      </c>
      <c r="G3661" t="s">
        <v>105</v>
      </c>
      <c r="H3661" t="s">
        <v>16</v>
      </c>
      <c r="I3661" t="s">
        <v>77</v>
      </c>
      <c r="J3661" t="s">
        <v>78</v>
      </c>
      <c r="K3661" t="s">
        <v>1809</v>
      </c>
      <c r="L3661" t="str">
        <f>HYPERLINK("https://business-monitor.ch/de/companies/1071273-c-m-haller-gmbh?utm_source=oberaargau","PROFIL ANSEHEN")</f>
        <v>PROFIL ANSEHEN</v>
      </c>
    </row>
    <row r="3662" spans="1:12" x14ac:dyDescent="0.2">
      <c r="A3662" t="s">
        <v>4100</v>
      </c>
      <c r="B3662" t="s">
        <v>4101</v>
      </c>
      <c r="C3662" t="s">
        <v>202</v>
      </c>
      <c r="E3662" t="s">
        <v>5460</v>
      </c>
      <c r="F3662">
        <v>4912</v>
      </c>
      <c r="G3662" t="s">
        <v>64</v>
      </c>
      <c r="H3662" t="s">
        <v>16</v>
      </c>
      <c r="I3662" t="s">
        <v>596</v>
      </c>
      <c r="J3662" t="s">
        <v>597</v>
      </c>
      <c r="K3662" t="s">
        <v>1809</v>
      </c>
      <c r="L3662" t="str">
        <f>HYPERLINK("https://business-monitor.ch/de/companies/1038957-vinothek-wine-insider-ch-gmbh?utm_source=oberaargau","PROFIL ANSEHEN")</f>
        <v>PROFIL ANSEHEN</v>
      </c>
    </row>
    <row r="3663" spans="1:12" x14ac:dyDescent="0.2">
      <c r="A3663" t="s">
        <v>12932</v>
      </c>
      <c r="B3663" t="s">
        <v>12933</v>
      </c>
      <c r="C3663" t="s">
        <v>13</v>
      </c>
      <c r="E3663" t="s">
        <v>12934</v>
      </c>
      <c r="F3663">
        <v>4938</v>
      </c>
      <c r="G3663" t="s">
        <v>1909</v>
      </c>
      <c r="H3663" t="s">
        <v>16</v>
      </c>
      <c r="I3663" t="s">
        <v>260</v>
      </c>
      <c r="J3663" t="s">
        <v>261</v>
      </c>
      <c r="K3663" t="s">
        <v>1809</v>
      </c>
      <c r="L3663" t="str">
        <f>HYPERLINK("https://business-monitor.ch/de/companies/1219927-arche-flueckigen-ag?utm_source=oberaargau","PROFIL ANSEHEN")</f>
        <v>PROFIL ANSEHEN</v>
      </c>
    </row>
    <row r="3664" spans="1:12" x14ac:dyDescent="0.2">
      <c r="A3664" t="s">
        <v>10355</v>
      </c>
      <c r="B3664" t="s">
        <v>10356</v>
      </c>
      <c r="C3664" t="s">
        <v>13</v>
      </c>
      <c r="D3664" t="s">
        <v>8485</v>
      </c>
      <c r="E3664" t="s">
        <v>8486</v>
      </c>
      <c r="F3664">
        <v>4950</v>
      </c>
      <c r="G3664" t="s">
        <v>15</v>
      </c>
      <c r="H3664" t="s">
        <v>16</v>
      </c>
      <c r="I3664" t="s">
        <v>182</v>
      </c>
      <c r="J3664" t="s">
        <v>183</v>
      </c>
      <c r="K3664" t="s">
        <v>1809</v>
      </c>
      <c r="L3664" t="str">
        <f>HYPERLINK("https://business-monitor.ch/de/companies/536846-uruma-holding-ag?utm_source=oberaargau","PROFIL ANSEHEN")</f>
        <v>PROFIL ANSEHEN</v>
      </c>
    </row>
    <row r="3665" spans="1:12" x14ac:dyDescent="0.2">
      <c r="A3665" t="s">
        <v>2876</v>
      </c>
      <c r="B3665" t="s">
        <v>2877</v>
      </c>
      <c r="C3665" t="s">
        <v>13</v>
      </c>
      <c r="E3665" t="s">
        <v>2878</v>
      </c>
      <c r="F3665">
        <v>4900</v>
      </c>
      <c r="G3665" t="s">
        <v>41</v>
      </c>
      <c r="H3665" t="s">
        <v>16</v>
      </c>
      <c r="I3665" t="s">
        <v>596</v>
      </c>
      <c r="J3665" t="s">
        <v>597</v>
      </c>
      <c r="K3665" t="s">
        <v>1809</v>
      </c>
      <c r="L3665" t="str">
        <f>HYPERLINK("https://business-monitor.ch/de/companies/408242-loosli-getraenke-ag?utm_source=oberaargau","PROFIL ANSEHEN")</f>
        <v>PROFIL ANSEHEN</v>
      </c>
    </row>
    <row r="3666" spans="1:12" x14ac:dyDescent="0.2">
      <c r="A3666" t="s">
        <v>11534</v>
      </c>
      <c r="B3666" t="s">
        <v>11535</v>
      </c>
      <c r="C3666" t="s">
        <v>1812</v>
      </c>
      <c r="E3666" t="s">
        <v>8156</v>
      </c>
      <c r="F3666">
        <v>4954</v>
      </c>
      <c r="G3666" t="s">
        <v>359</v>
      </c>
      <c r="H3666" t="s">
        <v>16</v>
      </c>
      <c r="I3666" t="s">
        <v>781</v>
      </c>
      <c r="J3666" t="s">
        <v>782</v>
      </c>
      <c r="K3666" t="s">
        <v>1809</v>
      </c>
      <c r="L3666" t="str">
        <f>HYPERLINK("https://business-monitor.ch/de/companies/1146558-roth-kleingeraete-verkauf-und-service?utm_source=oberaargau","PROFIL ANSEHEN")</f>
        <v>PROFIL ANSEHEN</v>
      </c>
    </row>
    <row r="3667" spans="1:12" x14ac:dyDescent="0.2">
      <c r="A3667" t="s">
        <v>8025</v>
      </c>
      <c r="B3667" t="s">
        <v>8026</v>
      </c>
      <c r="C3667" t="s">
        <v>2178</v>
      </c>
      <c r="E3667" t="s">
        <v>14587</v>
      </c>
      <c r="F3667">
        <v>4900</v>
      </c>
      <c r="G3667" t="s">
        <v>41</v>
      </c>
      <c r="H3667" t="s">
        <v>16</v>
      </c>
      <c r="I3667" t="s">
        <v>733</v>
      </c>
      <c r="J3667" t="s">
        <v>734</v>
      </c>
      <c r="K3667" t="s">
        <v>1809</v>
      </c>
      <c r="L3667" t="str">
        <f>HYPERLINK("https://business-monitor.ch/de/companies/480949-auto-studer-ag?utm_source=oberaargau","PROFIL ANSEHEN")</f>
        <v>PROFIL ANSEHEN</v>
      </c>
    </row>
    <row r="3668" spans="1:12" x14ac:dyDescent="0.2">
      <c r="A3668" t="s">
        <v>9949</v>
      </c>
      <c r="B3668" t="s">
        <v>9950</v>
      </c>
      <c r="C3668" t="s">
        <v>202</v>
      </c>
      <c r="D3668" t="s">
        <v>9951</v>
      </c>
      <c r="E3668" t="s">
        <v>9952</v>
      </c>
      <c r="F3668">
        <v>4537</v>
      </c>
      <c r="G3668" t="s">
        <v>113</v>
      </c>
      <c r="H3668" t="s">
        <v>16</v>
      </c>
      <c r="I3668" t="s">
        <v>182</v>
      </c>
      <c r="J3668" t="s">
        <v>183</v>
      </c>
      <c r="K3668" t="s">
        <v>1809</v>
      </c>
      <c r="L3668" t="str">
        <f>HYPERLINK("https://business-monitor.ch/de/companies/942050-obrasso-group-gmbh?utm_source=oberaargau","PROFIL ANSEHEN")</f>
        <v>PROFIL ANSEHEN</v>
      </c>
    </row>
    <row r="3669" spans="1:12" x14ac:dyDescent="0.2">
      <c r="A3669" t="s">
        <v>12781</v>
      </c>
      <c r="B3669" t="s">
        <v>12782</v>
      </c>
      <c r="C3669" t="s">
        <v>1812</v>
      </c>
      <c r="E3669" t="s">
        <v>12685</v>
      </c>
      <c r="F3669">
        <v>4912</v>
      </c>
      <c r="G3669" t="s">
        <v>64</v>
      </c>
      <c r="H3669" t="s">
        <v>16</v>
      </c>
      <c r="I3669" t="s">
        <v>733</v>
      </c>
      <c r="J3669" t="s">
        <v>734</v>
      </c>
      <c r="K3669" t="s">
        <v>1809</v>
      </c>
      <c r="L3669" t="str">
        <f>HYPERLINK("https://business-monitor.ch/de/companies/1221613-tharcars-by-kandiah?utm_source=oberaargau","PROFIL ANSEHEN")</f>
        <v>PROFIL ANSEHEN</v>
      </c>
    </row>
    <row r="3670" spans="1:12" x14ac:dyDescent="0.2">
      <c r="A3670" t="s">
        <v>6819</v>
      </c>
      <c r="B3670" t="s">
        <v>6820</v>
      </c>
      <c r="C3670" t="s">
        <v>13</v>
      </c>
      <c r="E3670" t="s">
        <v>4630</v>
      </c>
      <c r="F3670">
        <v>3360</v>
      </c>
      <c r="G3670" t="s">
        <v>35</v>
      </c>
      <c r="H3670" t="s">
        <v>16</v>
      </c>
      <c r="I3670" t="s">
        <v>157</v>
      </c>
      <c r="J3670" t="s">
        <v>158</v>
      </c>
      <c r="K3670" t="s">
        <v>1809</v>
      </c>
      <c r="L3670" t="str">
        <f>HYPERLINK("https://business-monitor.ch/de/companies/72312-schelbli-immobilien-ag?utm_source=oberaargau","PROFIL ANSEHEN")</f>
        <v>PROFIL ANSEHEN</v>
      </c>
    </row>
    <row r="3671" spans="1:12" x14ac:dyDescent="0.2">
      <c r="A3671" t="s">
        <v>7442</v>
      </c>
      <c r="B3671" t="s">
        <v>7443</v>
      </c>
      <c r="C3671" t="s">
        <v>202</v>
      </c>
      <c r="E3671" t="s">
        <v>6379</v>
      </c>
      <c r="F3671">
        <v>4900</v>
      </c>
      <c r="G3671" t="s">
        <v>41</v>
      </c>
      <c r="H3671" t="s">
        <v>16</v>
      </c>
      <c r="I3671" t="s">
        <v>1860</v>
      </c>
      <c r="J3671" t="s">
        <v>1861</v>
      </c>
      <c r="K3671" t="s">
        <v>1809</v>
      </c>
      <c r="L3671" t="str">
        <f>HYPERLINK("https://business-monitor.ch/de/companies/942459-haargenau-49-gmbh?utm_source=oberaargau","PROFIL ANSEHEN")</f>
        <v>PROFIL ANSEHEN</v>
      </c>
    </row>
    <row r="3672" spans="1:12" x14ac:dyDescent="0.2">
      <c r="A3672" t="s">
        <v>13942</v>
      </c>
      <c r="B3672" t="s">
        <v>13943</v>
      </c>
      <c r="C3672" t="s">
        <v>1812</v>
      </c>
      <c r="D3672" t="s">
        <v>13944</v>
      </c>
      <c r="E3672" t="s">
        <v>5213</v>
      </c>
      <c r="F3672">
        <v>4900</v>
      </c>
      <c r="G3672" t="s">
        <v>41</v>
      </c>
      <c r="H3672" t="s">
        <v>16</v>
      </c>
      <c r="I3672" t="s">
        <v>3775</v>
      </c>
      <c r="J3672" t="s">
        <v>3776</v>
      </c>
      <c r="K3672" t="s">
        <v>1809</v>
      </c>
      <c r="L3672" t="str">
        <f>HYPERLINK("https://business-monitor.ch/de/companies/1276784-hoenger-media?utm_source=oberaargau","PROFIL ANSEHEN")</f>
        <v>PROFIL ANSEHEN</v>
      </c>
    </row>
    <row r="3673" spans="1:12" x14ac:dyDescent="0.2">
      <c r="A3673" t="s">
        <v>8875</v>
      </c>
      <c r="B3673" t="s">
        <v>8876</v>
      </c>
      <c r="C3673" t="s">
        <v>1812</v>
      </c>
      <c r="E3673" t="s">
        <v>6424</v>
      </c>
      <c r="F3673">
        <v>4950</v>
      </c>
      <c r="G3673" t="s">
        <v>15</v>
      </c>
      <c r="H3673" t="s">
        <v>16</v>
      </c>
      <c r="I3673" t="s">
        <v>2842</v>
      </c>
      <c r="J3673" t="s">
        <v>2843</v>
      </c>
      <c r="K3673" t="s">
        <v>1809</v>
      </c>
      <c r="L3673" t="str">
        <f>HYPERLINK("https://business-monitor.ch/de/companies/311908-huttu-online-zurfluh?utm_source=oberaargau","PROFIL ANSEHEN")</f>
        <v>PROFIL ANSEHEN</v>
      </c>
    </row>
    <row r="3674" spans="1:12" x14ac:dyDescent="0.2">
      <c r="A3674" t="s">
        <v>13822</v>
      </c>
      <c r="B3674" t="s">
        <v>13823</v>
      </c>
      <c r="C3674" t="s">
        <v>1812</v>
      </c>
      <c r="E3674" t="s">
        <v>13824</v>
      </c>
      <c r="F3674">
        <v>4932</v>
      </c>
      <c r="G3674" t="s">
        <v>325</v>
      </c>
      <c r="H3674" t="s">
        <v>16</v>
      </c>
      <c r="I3674" t="s">
        <v>2275</v>
      </c>
      <c r="J3674" t="s">
        <v>2276</v>
      </c>
      <c r="K3674" t="s">
        <v>1809</v>
      </c>
      <c r="L3674" t="str">
        <f>HYPERLINK("https://business-monitor.ch/de/companies/1264767-moebelnest-vogel?utm_source=oberaargau","PROFIL ANSEHEN")</f>
        <v>PROFIL ANSEHEN</v>
      </c>
    </row>
    <row r="3675" spans="1:12" x14ac:dyDescent="0.2">
      <c r="A3675" t="s">
        <v>9941</v>
      </c>
      <c r="B3675" t="s">
        <v>9942</v>
      </c>
      <c r="C3675" t="s">
        <v>84</v>
      </c>
      <c r="D3675" t="s">
        <v>9943</v>
      </c>
      <c r="E3675" t="s">
        <v>9944</v>
      </c>
      <c r="F3675">
        <v>3376</v>
      </c>
      <c r="G3675" t="s">
        <v>6811</v>
      </c>
      <c r="H3675" t="s">
        <v>16</v>
      </c>
      <c r="I3675" t="s">
        <v>386</v>
      </c>
      <c r="J3675" t="s">
        <v>387</v>
      </c>
      <c r="K3675" t="s">
        <v>1809</v>
      </c>
      <c r="L3675" t="str">
        <f>HYPERLINK("https://business-monitor.ch/de/companies/949733-brunnengenossenschaft-berken?utm_source=oberaargau","PROFIL ANSEHEN")</f>
        <v>PROFIL ANSEHEN</v>
      </c>
    </row>
    <row r="3676" spans="1:12" x14ac:dyDescent="0.2">
      <c r="A3676" t="s">
        <v>7195</v>
      </c>
      <c r="B3676" t="s">
        <v>7196</v>
      </c>
      <c r="C3676" t="s">
        <v>13</v>
      </c>
      <c r="D3676" t="s">
        <v>4082</v>
      </c>
      <c r="E3676" t="s">
        <v>501</v>
      </c>
      <c r="F3676">
        <v>4900</v>
      </c>
      <c r="G3676" t="s">
        <v>41</v>
      </c>
      <c r="H3676" t="s">
        <v>16</v>
      </c>
      <c r="I3676" t="s">
        <v>182</v>
      </c>
      <c r="J3676" t="s">
        <v>183</v>
      </c>
      <c r="K3676" t="s">
        <v>1809</v>
      </c>
      <c r="L3676" t="str">
        <f>HYPERLINK("https://business-monitor.ch/de/companies/1046711-kaempf-holding-ag?utm_source=oberaargau","PROFIL ANSEHEN")</f>
        <v>PROFIL ANSEHEN</v>
      </c>
    </row>
    <row r="3677" spans="1:12" x14ac:dyDescent="0.2">
      <c r="A3677" t="s">
        <v>6533</v>
      </c>
      <c r="B3677" t="s">
        <v>6534</v>
      </c>
      <c r="C3677" t="s">
        <v>202</v>
      </c>
      <c r="E3677" t="s">
        <v>6535</v>
      </c>
      <c r="F3677">
        <v>4539</v>
      </c>
      <c r="G3677" t="s">
        <v>1134</v>
      </c>
      <c r="H3677" t="s">
        <v>16</v>
      </c>
      <c r="I3677" t="s">
        <v>1140</v>
      </c>
      <c r="J3677" t="s">
        <v>1141</v>
      </c>
      <c r="K3677" t="s">
        <v>1809</v>
      </c>
      <c r="L3677" t="str">
        <f>HYPERLINK("https://business-monitor.ch/de/companies/235015-merlinda-gmbh?utm_source=oberaargau","PROFIL ANSEHEN")</f>
        <v>PROFIL ANSEHEN</v>
      </c>
    </row>
    <row r="3678" spans="1:12" x14ac:dyDescent="0.2">
      <c r="A3678" t="s">
        <v>13049</v>
      </c>
      <c r="B3678" t="s">
        <v>13050</v>
      </c>
      <c r="C3678" t="s">
        <v>13</v>
      </c>
      <c r="E3678" t="s">
        <v>714</v>
      </c>
      <c r="F3678">
        <v>4900</v>
      </c>
      <c r="G3678" t="s">
        <v>41</v>
      </c>
      <c r="H3678" t="s">
        <v>16</v>
      </c>
      <c r="I3678" t="s">
        <v>186</v>
      </c>
      <c r="J3678" t="s">
        <v>187</v>
      </c>
      <c r="K3678" t="s">
        <v>1809</v>
      </c>
      <c r="L3678" t="str">
        <f>HYPERLINK("https://business-monitor.ch/de/companies/1233930-pm-innovation-ag?utm_source=oberaargau","PROFIL ANSEHEN")</f>
        <v>PROFIL ANSEHEN</v>
      </c>
    </row>
    <row r="3679" spans="1:12" x14ac:dyDescent="0.2">
      <c r="A3679" t="s">
        <v>3830</v>
      </c>
      <c r="B3679" t="s">
        <v>3831</v>
      </c>
      <c r="C3679" t="s">
        <v>202</v>
      </c>
      <c r="E3679" t="s">
        <v>3832</v>
      </c>
      <c r="F3679">
        <v>4914</v>
      </c>
      <c r="G3679" t="s">
        <v>105</v>
      </c>
      <c r="H3679" t="s">
        <v>16</v>
      </c>
      <c r="I3679" t="s">
        <v>475</v>
      </c>
      <c r="J3679" t="s">
        <v>476</v>
      </c>
      <c r="K3679" t="s">
        <v>1809</v>
      </c>
      <c r="L3679" t="str">
        <f>HYPERLINK("https://business-monitor.ch/de/companies/688085-c-tech-ch-gmbh?utm_source=oberaargau","PROFIL ANSEHEN")</f>
        <v>PROFIL ANSEHEN</v>
      </c>
    </row>
    <row r="3680" spans="1:12" x14ac:dyDescent="0.2">
      <c r="A3680" t="s">
        <v>12279</v>
      </c>
      <c r="B3680" t="s">
        <v>12280</v>
      </c>
      <c r="C3680" t="s">
        <v>1812</v>
      </c>
      <c r="E3680" t="s">
        <v>12308</v>
      </c>
      <c r="F3680">
        <v>4900</v>
      </c>
      <c r="G3680" t="s">
        <v>41</v>
      </c>
      <c r="H3680" t="s">
        <v>16</v>
      </c>
      <c r="I3680" t="s">
        <v>3510</v>
      </c>
      <c r="J3680" t="s">
        <v>3511</v>
      </c>
      <c r="K3680" t="s">
        <v>1809</v>
      </c>
      <c r="L3680" t="str">
        <f>HYPERLINK("https://business-monitor.ch/de/companies/530441-tschudi-bueromaschinen?utm_source=oberaargau","PROFIL ANSEHEN")</f>
        <v>PROFIL ANSEHEN</v>
      </c>
    </row>
    <row r="3681" spans="1:12" x14ac:dyDescent="0.2">
      <c r="A3681" t="s">
        <v>11567</v>
      </c>
      <c r="B3681" t="s">
        <v>11568</v>
      </c>
      <c r="C3681" t="s">
        <v>202</v>
      </c>
      <c r="E3681" t="s">
        <v>8478</v>
      </c>
      <c r="F3681">
        <v>4912</v>
      </c>
      <c r="G3681" t="s">
        <v>64</v>
      </c>
      <c r="H3681" t="s">
        <v>16</v>
      </c>
      <c r="I3681" t="s">
        <v>1835</v>
      </c>
      <c r="J3681" t="s">
        <v>1836</v>
      </c>
      <c r="K3681" t="s">
        <v>1809</v>
      </c>
      <c r="L3681" t="str">
        <f>HYPERLINK("https://business-monitor.ch/de/companies/1145960-screinigung-und-umzug-gmbh?utm_source=oberaargau","PROFIL ANSEHEN")</f>
        <v>PROFIL ANSEHEN</v>
      </c>
    </row>
    <row r="3682" spans="1:12" x14ac:dyDescent="0.2">
      <c r="A3682" t="s">
        <v>6663</v>
      </c>
      <c r="B3682" t="s">
        <v>6664</v>
      </c>
      <c r="C3682" t="s">
        <v>13</v>
      </c>
      <c r="D3682" t="s">
        <v>6665</v>
      </c>
      <c r="F3682">
        <v>4955</v>
      </c>
      <c r="G3682" t="s">
        <v>684</v>
      </c>
      <c r="H3682" t="s">
        <v>16</v>
      </c>
      <c r="I3682" t="s">
        <v>723</v>
      </c>
      <c r="J3682" t="s">
        <v>724</v>
      </c>
      <c r="K3682" t="s">
        <v>1809</v>
      </c>
      <c r="L3682" t="str">
        <f>HYPERLINK("https://business-monitor.ch/de/companies/175165-nyffenegger-ag?utm_source=oberaargau","PROFIL ANSEHEN")</f>
        <v>PROFIL ANSEHEN</v>
      </c>
    </row>
    <row r="3683" spans="1:12" x14ac:dyDescent="0.2">
      <c r="A3683" t="s">
        <v>3389</v>
      </c>
      <c r="B3683" t="s">
        <v>3390</v>
      </c>
      <c r="C3683" t="s">
        <v>13</v>
      </c>
      <c r="E3683" t="s">
        <v>3391</v>
      </c>
      <c r="F3683">
        <v>3360</v>
      </c>
      <c r="G3683" t="s">
        <v>35</v>
      </c>
      <c r="H3683" t="s">
        <v>16</v>
      </c>
      <c r="I3683" t="s">
        <v>157</v>
      </c>
      <c r="J3683" t="s">
        <v>158</v>
      </c>
      <c r="K3683" t="s">
        <v>1809</v>
      </c>
      <c r="L3683" t="str">
        <f>HYPERLINK("https://business-monitor.ch/de/companies/198271-r-gilgen-ag?utm_source=oberaargau","PROFIL ANSEHEN")</f>
        <v>PROFIL ANSEHEN</v>
      </c>
    </row>
    <row r="3684" spans="1:12" x14ac:dyDescent="0.2">
      <c r="A3684" t="s">
        <v>7931</v>
      </c>
      <c r="B3684" t="s">
        <v>7932</v>
      </c>
      <c r="C3684" t="s">
        <v>1812</v>
      </c>
      <c r="E3684" t="s">
        <v>3625</v>
      </c>
      <c r="F3684">
        <v>4922</v>
      </c>
      <c r="G3684" t="s">
        <v>1318</v>
      </c>
      <c r="H3684" t="s">
        <v>16</v>
      </c>
      <c r="I3684" t="s">
        <v>1324</v>
      </c>
      <c r="J3684" t="s">
        <v>1325</v>
      </c>
      <c r="K3684" t="s">
        <v>1809</v>
      </c>
      <c r="L3684" t="str">
        <f>HYPERLINK("https://business-monitor.ch/de/companies/434457-meister-montagen?utm_source=oberaargau","PROFIL ANSEHEN")</f>
        <v>PROFIL ANSEHEN</v>
      </c>
    </row>
    <row r="3685" spans="1:12" x14ac:dyDescent="0.2">
      <c r="A3685" t="s">
        <v>14081</v>
      </c>
      <c r="B3685" t="s">
        <v>14082</v>
      </c>
      <c r="C3685" t="s">
        <v>202</v>
      </c>
      <c r="E3685" t="s">
        <v>2873</v>
      </c>
      <c r="F3685">
        <v>4538</v>
      </c>
      <c r="G3685" t="s">
        <v>71</v>
      </c>
      <c r="H3685" t="s">
        <v>16</v>
      </c>
      <c r="I3685" t="s">
        <v>180</v>
      </c>
      <c r="J3685" t="s">
        <v>181</v>
      </c>
      <c r="K3685" t="s">
        <v>1809</v>
      </c>
      <c r="L3685" t="str">
        <f>HYPERLINK("https://business-monitor.ch/de/companies/950621-bb-bautec-gmbh?utm_source=oberaargau","PROFIL ANSEHEN")</f>
        <v>PROFIL ANSEHEN</v>
      </c>
    </row>
    <row r="3686" spans="1:12" x14ac:dyDescent="0.2">
      <c r="A3686" t="s">
        <v>11163</v>
      </c>
      <c r="B3686" t="s">
        <v>10989</v>
      </c>
      <c r="C3686" t="s">
        <v>1812</v>
      </c>
      <c r="E3686" t="s">
        <v>10990</v>
      </c>
      <c r="F3686">
        <v>4924</v>
      </c>
      <c r="G3686" t="s">
        <v>3727</v>
      </c>
      <c r="H3686" t="s">
        <v>16</v>
      </c>
      <c r="I3686" t="s">
        <v>1535</v>
      </c>
      <c r="J3686" t="s">
        <v>1536</v>
      </c>
      <c r="K3686" t="s">
        <v>1809</v>
      </c>
      <c r="L3686" t="str">
        <f>HYPERLINK("https://business-monitor.ch/de/companies/1114368-david-mueller-garten-und-umgebung?utm_source=oberaargau","PROFIL ANSEHEN")</f>
        <v>PROFIL ANSEHEN</v>
      </c>
    </row>
    <row r="3687" spans="1:12" x14ac:dyDescent="0.2">
      <c r="A3687" t="s">
        <v>11837</v>
      </c>
      <c r="B3687" t="s">
        <v>11838</v>
      </c>
      <c r="C3687" t="s">
        <v>1812</v>
      </c>
      <c r="E3687" t="s">
        <v>11839</v>
      </c>
      <c r="F3687">
        <v>4704</v>
      </c>
      <c r="G3687" t="s">
        <v>221</v>
      </c>
      <c r="H3687" t="s">
        <v>16</v>
      </c>
      <c r="I3687" t="s">
        <v>1026</v>
      </c>
      <c r="J3687" t="s">
        <v>1027</v>
      </c>
      <c r="K3687" t="s">
        <v>1809</v>
      </c>
      <c r="L3687" t="str">
        <f>HYPERLINK("https://business-monitor.ch/de/companies/1068884-mobiliving-ch-pioggia?utm_source=oberaargau","PROFIL ANSEHEN")</f>
        <v>PROFIL ANSEHEN</v>
      </c>
    </row>
    <row r="3688" spans="1:12" x14ac:dyDescent="0.2">
      <c r="A3688" t="s">
        <v>12857</v>
      </c>
      <c r="B3688" t="s">
        <v>12858</v>
      </c>
      <c r="C3688" t="s">
        <v>202</v>
      </c>
      <c r="E3688" t="s">
        <v>3298</v>
      </c>
      <c r="F3688">
        <v>4914</v>
      </c>
      <c r="G3688" t="s">
        <v>105</v>
      </c>
      <c r="H3688" t="s">
        <v>16</v>
      </c>
      <c r="I3688" t="s">
        <v>642</v>
      </c>
      <c r="J3688" t="s">
        <v>643</v>
      </c>
      <c r="K3688" t="s">
        <v>1809</v>
      </c>
      <c r="L3688" t="str">
        <f>HYPERLINK("https://business-monitor.ch/de/companies/1221925-garage-marending-gmbh?utm_source=oberaargau","PROFIL ANSEHEN")</f>
        <v>PROFIL ANSEHEN</v>
      </c>
    </row>
    <row r="3689" spans="1:12" x14ac:dyDescent="0.2">
      <c r="A3689" t="s">
        <v>10740</v>
      </c>
      <c r="B3689" t="s">
        <v>10741</v>
      </c>
      <c r="C3689" t="s">
        <v>202</v>
      </c>
      <c r="E3689" t="s">
        <v>4195</v>
      </c>
      <c r="F3689">
        <v>4923</v>
      </c>
      <c r="G3689" t="s">
        <v>732</v>
      </c>
      <c r="H3689" t="s">
        <v>16</v>
      </c>
      <c r="I3689" t="s">
        <v>232</v>
      </c>
      <c r="J3689" t="s">
        <v>233</v>
      </c>
      <c r="K3689" t="s">
        <v>1809</v>
      </c>
      <c r="L3689" t="str">
        <f>HYPERLINK("https://business-monitor.ch/de/companies/1098771-barceli-gmbh?utm_source=oberaargau","PROFIL ANSEHEN")</f>
        <v>PROFIL ANSEHEN</v>
      </c>
    </row>
    <row r="3690" spans="1:12" x14ac:dyDescent="0.2">
      <c r="A3690" t="s">
        <v>12752</v>
      </c>
      <c r="B3690" t="s">
        <v>12753</v>
      </c>
      <c r="C3690" t="s">
        <v>202</v>
      </c>
      <c r="E3690" t="s">
        <v>7874</v>
      </c>
      <c r="F3690">
        <v>4912</v>
      </c>
      <c r="G3690" t="s">
        <v>64</v>
      </c>
      <c r="H3690" t="s">
        <v>16</v>
      </c>
      <c r="I3690" t="s">
        <v>1528</v>
      </c>
      <c r="J3690" t="s">
        <v>1529</v>
      </c>
      <c r="K3690" t="s">
        <v>1809</v>
      </c>
      <c r="L3690" t="str">
        <f>HYPERLINK("https://business-monitor.ch/de/companies/1222752-graf-krummenacher-partner-gmbh?utm_source=oberaargau","PROFIL ANSEHEN")</f>
        <v>PROFIL ANSEHEN</v>
      </c>
    </row>
    <row r="3691" spans="1:12" x14ac:dyDescent="0.2">
      <c r="A3691" t="s">
        <v>5327</v>
      </c>
      <c r="B3691" t="s">
        <v>5328</v>
      </c>
      <c r="C3691" t="s">
        <v>1812</v>
      </c>
      <c r="E3691" t="s">
        <v>5329</v>
      </c>
      <c r="F3691">
        <v>4900</v>
      </c>
      <c r="G3691" t="s">
        <v>41</v>
      </c>
      <c r="H3691" t="s">
        <v>16</v>
      </c>
      <c r="I3691" t="s">
        <v>1998</v>
      </c>
      <c r="J3691" t="s">
        <v>1999</v>
      </c>
      <c r="K3691" t="s">
        <v>1809</v>
      </c>
      <c r="L3691" t="str">
        <f>HYPERLINK("https://business-monitor.ch/de/companies/1080607-gschaenk-chratte-tanja-polling-moser?utm_source=oberaargau","PROFIL ANSEHEN")</f>
        <v>PROFIL ANSEHEN</v>
      </c>
    </row>
    <row r="3692" spans="1:12" x14ac:dyDescent="0.2">
      <c r="A3692" t="s">
        <v>14144</v>
      </c>
      <c r="B3692" t="s">
        <v>14145</v>
      </c>
      <c r="C3692" t="s">
        <v>1812</v>
      </c>
      <c r="E3692" t="s">
        <v>14146</v>
      </c>
      <c r="F3692">
        <v>4922</v>
      </c>
      <c r="G3692" t="s">
        <v>99</v>
      </c>
      <c r="H3692" t="s">
        <v>16</v>
      </c>
      <c r="I3692" t="s">
        <v>3775</v>
      </c>
      <c r="J3692" t="s">
        <v>3776</v>
      </c>
      <c r="K3692" t="s">
        <v>1809</v>
      </c>
      <c r="L3692" t="str">
        <f>HYPERLINK("https://business-monitor.ch/de/companies/1294156-doenmez?utm_source=oberaargau","PROFIL ANSEHEN")</f>
        <v>PROFIL ANSEHEN</v>
      </c>
    </row>
    <row r="3693" spans="1:12" x14ac:dyDescent="0.2">
      <c r="A3693" t="s">
        <v>4319</v>
      </c>
      <c r="B3693" t="s">
        <v>4320</v>
      </c>
      <c r="C3693" t="s">
        <v>13</v>
      </c>
      <c r="E3693" t="s">
        <v>4321</v>
      </c>
      <c r="F3693">
        <v>3380</v>
      </c>
      <c r="G3693" t="s">
        <v>3483</v>
      </c>
      <c r="H3693" t="s">
        <v>16</v>
      </c>
      <c r="I3693" t="s">
        <v>824</v>
      </c>
      <c r="J3693" t="s">
        <v>825</v>
      </c>
      <c r="K3693" t="s">
        <v>1809</v>
      </c>
      <c r="L3693" t="str">
        <f>HYPERLINK("https://business-monitor.ch/de/companies/968561-restaurant-oberli-ag?utm_source=oberaargau","PROFIL ANSEHEN")</f>
        <v>PROFIL ANSEHEN</v>
      </c>
    </row>
    <row r="3694" spans="1:12" x14ac:dyDescent="0.2">
      <c r="A3694" t="s">
        <v>3319</v>
      </c>
      <c r="B3694" t="s">
        <v>3320</v>
      </c>
      <c r="C3694" t="s">
        <v>202</v>
      </c>
      <c r="E3694" t="s">
        <v>3321</v>
      </c>
      <c r="F3694">
        <v>4950</v>
      </c>
      <c r="G3694" t="s">
        <v>15</v>
      </c>
      <c r="H3694" t="s">
        <v>16</v>
      </c>
      <c r="I3694" t="s">
        <v>2665</v>
      </c>
      <c r="J3694" t="s">
        <v>2666</v>
      </c>
      <c r="K3694" t="s">
        <v>1809</v>
      </c>
      <c r="L3694" t="str">
        <f>HYPERLINK("https://business-monitor.ch/de/companies/230707-neurocoaching-gmbh?utm_source=oberaargau","PROFIL ANSEHEN")</f>
        <v>PROFIL ANSEHEN</v>
      </c>
    </row>
    <row r="3695" spans="1:12" x14ac:dyDescent="0.2">
      <c r="A3695" t="s">
        <v>14588</v>
      </c>
      <c r="B3695" t="s">
        <v>14589</v>
      </c>
      <c r="C3695" t="s">
        <v>1812</v>
      </c>
      <c r="E3695" t="s">
        <v>7043</v>
      </c>
      <c r="F3695">
        <v>4911</v>
      </c>
      <c r="G3695" t="s">
        <v>1005</v>
      </c>
      <c r="H3695" t="s">
        <v>16</v>
      </c>
      <c r="I3695" t="s">
        <v>551</v>
      </c>
      <c r="J3695" t="s">
        <v>552</v>
      </c>
      <c r="K3695" t="s">
        <v>1809</v>
      </c>
      <c r="L3695" t="str">
        <f>HYPERLINK("https://business-monitor.ch/de/companies/1281211-gastro-consulting-santucci?utm_source=oberaargau","PROFIL ANSEHEN")</f>
        <v>PROFIL ANSEHEN</v>
      </c>
    </row>
    <row r="3696" spans="1:12" x14ac:dyDescent="0.2">
      <c r="A3696" t="s">
        <v>3543</v>
      </c>
      <c r="B3696" t="s">
        <v>3544</v>
      </c>
      <c r="C3696" t="s">
        <v>202</v>
      </c>
      <c r="E3696" t="s">
        <v>3545</v>
      </c>
      <c r="F3696">
        <v>3377</v>
      </c>
      <c r="G3696" t="s">
        <v>1307</v>
      </c>
      <c r="H3696" t="s">
        <v>16</v>
      </c>
      <c r="I3696" t="s">
        <v>1324</v>
      </c>
      <c r="J3696" t="s">
        <v>1325</v>
      </c>
      <c r="K3696" t="s">
        <v>1809</v>
      </c>
      <c r="L3696" t="str">
        <f>HYPERLINK("https://business-monitor.ch/de/companies/1059424-e-b-montagen-gmbh?utm_source=oberaargau","PROFIL ANSEHEN")</f>
        <v>PROFIL ANSEHEN</v>
      </c>
    </row>
    <row r="3697" spans="1:12" x14ac:dyDescent="0.2">
      <c r="A3697" t="s">
        <v>3136</v>
      </c>
      <c r="B3697" t="s">
        <v>3137</v>
      </c>
      <c r="C3697" t="s">
        <v>202</v>
      </c>
      <c r="E3697" t="s">
        <v>11437</v>
      </c>
      <c r="F3697">
        <v>4704</v>
      </c>
      <c r="G3697" t="s">
        <v>221</v>
      </c>
      <c r="H3697" t="s">
        <v>16</v>
      </c>
      <c r="I3697" t="s">
        <v>486</v>
      </c>
      <c r="J3697" t="s">
        <v>487</v>
      </c>
      <c r="K3697" t="s">
        <v>1809</v>
      </c>
      <c r="L3697" t="str">
        <f>HYPERLINK("https://business-monitor.ch/de/companies/313691-jb-stahl-metallbau-gmbh?utm_source=oberaargau","PROFIL ANSEHEN")</f>
        <v>PROFIL ANSEHEN</v>
      </c>
    </row>
    <row r="3698" spans="1:12" x14ac:dyDescent="0.2">
      <c r="A3698" t="s">
        <v>8799</v>
      </c>
      <c r="B3698" t="s">
        <v>8800</v>
      </c>
      <c r="C3698" t="s">
        <v>1812</v>
      </c>
      <c r="E3698" t="s">
        <v>8801</v>
      </c>
      <c r="F3698">
        <v>3360</v>
      </c>
      <c r="G3698" t="s">
        <v>35</v>
      </c>
      <c r="H3698" t="s">
        <v>16</v>
      </c>
      <c r="I3698" t="s">
        <v>1855</v>
      </c>
      <c r="J3698" t="s">
        <v>1856</v>
      </c>
      <c r="K3698" t="s">
        <v>1809</v>
      </c>
      <c r="L3698" t="str">
        <f>HYPERLINK("https://business-monitor.ch/de/companies/354125-make-up-and-more-alexandra-patete?utm_source=oberaargau","PROFIL ANSEHEN")</f>
        <v>PROFIL ANSEHEN</v>
      </c>
    </row>
    <row r="3699" spans="1:12" x14ac:dyDescent="0.2">
      <c r="A3699" t="s">
        <v>14590</v>
      </c>
      <c r="B3699" t="s">
        <v>14591</v>
      </c>
      <c r="C3699" t="s">
        <v>1812</v>
      </c>
      <c r="E3699" t="s">
        <v>14592</v>
      </c>
      <c r="F3699">
        <v>4900</v>
      </c>
      <c r="G3699" t="s">
        <v>41</v>
      </c>
      <c r="H3699" t="s">
        <v>16</v>
      </c>
      <c r="I3699" t="s">
        <v>1835</v>
      </c>
      <c r="J3699" t="s">
        <v>1836</v>
      </c>
      <c r="K3699" t="s">
        <v>1809</v>
      </c>
      <c r="L3699" t="str">
        <f>HYPERLINK("https://business-monitor.ch/de/companies/1303196-thoma-reinigungsteam?utm_source=oberaargau","PROFIL ANSEHEN")</f>
        <v>PROFIL ANSEHEN</v>
      </c>
    </row>
    <row r="3700" spans="1:12" x14ac:dyDescent="0.2">
      <c r="A3700" t="s">
        <v>13195</v>
      </c>
      <c r="B3700" t="s">
        <v>13196</v>
      </c>
      <c r="C3700" t="s">
        <v>13</v>
      </c>
      <c r="D3700" t="s">
        <v>13197</v>
      </c>
      <c r="E3700" t="s">
        <v>4640</v>
      </c>
      <c r="F3700">
        <v>4900</v>
      </c>
      <c r="G3700" t="s">
        <v>41</v>
      </c>
      <c r="H3700" t="s">
        <v>16</v>
      </c>
      <c r="I3700" t="s">
        <v>182</v>
      </c>
      <c r="J3700" t="s">
        <v>183</v>
      </c>
      <c r="K3700" t="s">
        <v>1809</v>
      </c>
      <c r="L3700" t="str">
        <f>HYPERLINK("https://business-monitor.ch/de/companies/1235089-xseh-holding-ag?utm_source=oberaargau","PROFIL ANSEHEN")</f>
        <v>PROFIL ANSEHEN</v>
      </c>
    </row>
    <row r="3701" spans="1:12" x14ac:dyDescent="0.2">
      <c r="A3701" t="s">
        <v>6855</v>
      </c>
      <c r="B3701" t="s">
        <v>6856</v>
      </c>
      <c r="C3701" t="s">
        <v>202</v>
      </c>
      <c r="E3701" t="s">
        <v>1146</v>
      </c>
      <c r="F3701">
        <v>3360</v>
      </c>
      <c r="G3701" t="s">
        <v>35</v>
      </c>
      <c r="H3701" t="s">
        <v>16</v>
      </c>
      <c r="I3701" t="s">
        <v>134</v>
      </c>
      <c r="J3701" t="s">
        <v>135</v>
      </c>
      <c r="K3701" t="s">
        <v>1809</v>
      </c>
      <c r="L3701" t="str">
        <f>HYPERLINK("https://business-monitor.ch/de/companies/54875-liechti-rentsch-elektro-telematik-gmbh?utm_source=oberaargau","PROFIL ANSEHEN")</f>
        <v>PROFIL ANSEHEN</v>
      </c>
    </row>
    <row r="3702" spans="1:12" x14ac:dyDescent="0.2">
      <c r="A3702" t="s">
        <v>12437</v>
      </c>
      <c r="B3702" t="s">
        <v>12438</v>
      </c>
      <c r="C3702" t="s">
        <v>202</v>
      </c>
      <c r="E3702" t="s">
        <v>8011</v>
      </c>
      <c r="F3702">
        <v>4937</v>
      </c>
      <c r="G3702" t="s">
        <v>951</v>
      </c>
      <c r="H3702" t="s">
        <v>16</v>
      </c>
      <c r="I3702" t="s">
        <v>3493</v>
      </c>
      <c r="J3702" t="s">
        <v>3494</v>
      </c>
      <c r="K3702" t="s">
        <v>1809</v>
      </c>
      <c r="L3702" t="str">
        <f>HYPERLINK("https://business-monitor.ch/de/companies/1200947-wallatis-consulting-gmbh?utm_source=oberaargau","PROFIL ANSEHEN")</f>
        <v>PROFIL ANSEHEN</v>
      </c>
    </row>
    <row r="3703" spans="1:12" x14ac:dyDescent="0.2">
      <c r="A3703" t="s">
        <v>10486</v>
      </c>
      <c r="B3703" t="s">
        <v>10487</v>
      </c>
      <c r="C3703" t="s">
        <v>1812</v>
      </c>
      <c r="E3703" t="s">
        <v>10488</v>
      </c>
      <c r="F3703">
        <v>3360</v>
      </c>
      <c r="G3703" t="s">
        <v>35</v>
      </c>
      <c r="H3703" t="s">
        <v>16</v>
      </c>
      <c r="I3703" t="s">
        <v>718</v>
      </c>
      <c r="J3703" t="s">
        <v>719</v>
      </c>
      <c r="K3703" t="s">
        <v>1809</v>
      </c>
      <c r="L3703" t="str">
        <f>HYPERLINK("https://business-monitor.ch/de/companies/304866-i-barcsa-carfahrten?utm_source=oberaargau","PROFIL ANSEHEN")</f>
        <v>PROFIL ANSEHEN</v>
      </c>
    </row>
    <row r="3704" spans="1:12" x14ac:dyDescent="0.2">
      <c r="A3704" t="s">
        <v>6110</v>
      </c>
      <c r="B3704" t="s">
        <v>6111</v>
      </c>
      <c r="C3704" t="s">
        <v>13</v>
      </c>
      <c r="E3704" t="s">
        <v>1929</v>
      </c>
      <c r="F3704">
        <v>4914</v>
      </c>
      <c r="G3704" t="s">
        <v>105</v>
      </c>
      <c r="H3704" t="s">
        <v>16</v>
      </c>
      <c r="I3704" t="s">
        <v>935</v>
      </c>
      <c r="J3704" t="s">
        <v>936</v>
      </c>
      <c r="K3704" t="s">
        <v>1809</v>
      </c>
      <c r="L3704" t="str">
        <f>HYPERLINK("https://business-monitor.ch/de/companies/403410-mb-immobilien-ag?utm_source=oberaargau","PROFIL ANSEHEN")</f>
        <v>PROFIL ANSEHEN</v>
      </c>
    </row>
    <row r="3705" spans="1:12" x14ac:dyDescent="0.2">
      <c r="A3705" t="s">
        <v>9179</v>
      </c>
      <c r="B3705" t="s">
        <v>9180</v>
      </c>
      <c r="C3705" t="s">
        <v>13</v>
      </c>
      <c r="E3705" t="s">
        <v>9181</v>
      </c>
      <c r="F3705">
        <v>3360</v>
      </c>
      <c r="G3705" t="s">
        <v>35</v>
      </c>
      <c r="H3705" t="s">
        <v>16</v>
      </c>
      <c r="I3705" t="s">
        <v>748</v>
      </c>
      <c r="J3705" t="s">
        <v>749</v>
      </c>
      <c r="K3705" t="s">
        <v>1809</v>
      </c>
      <c r="L3705" t="str">
        <f>HYPERLINK("https://business-monitor.ch/de/companies/155847-vauthey-ag?utm_source=oberaargau","PROFIL ANSEHEN")</f>
        <v>PROFIL ANSEHEN</v>
      </c>
    </row>
    <row r="3706" spans="1:12" x14ac:dyDescent="0.2">
      <c r="A3706" t="s">
        <v>13570</v>
      </c>
      <c r="B3706" t="s">
        <v>13571</v>
      </c>
      <c r="C3706" t="s">
        <v>1812</v>
      </c>
      <c r="D3706" t="s">
        <v>13572</v>
      </c>
      <c r="E3706" t="s">
        <v>3742</v>
      </c>
      <c r="F3706">
        <v>4900</v>
      </c>
      <c r="G3706" t="s">
        <v>41</v>
      </c>
      <c r="H3706" t="s">
        <v>16</v>
      </c>
      <c r="I3706" t="s">
        <v>1855</v>
      </c>
      <c r="J3706" t="s">
        <v>1856</v>
      </c>
      <c r="K3706" t="s">
        <v>1809</v>
      </c>
      <c r="L3706" t="str">
        <f>HYPERLINK("https://business-monitor.ch/de/companies/1265325-laser-lounge-julia-manolev?utm_source=oberaargau","PROFIL ANSEHEN")</f>
        <v>PROFIL ANSEHEN</v>
      </c>
    </row>
    <row r="3707" spans="1:12" x14ac:dyDescent="0.2">
      <c r="A3707" t="s">
        <v>2691</v>
      </c>
      <c r="B3707" t="s">
        <v>2692</v>
      </c>
      <c r="C3707" t="s">
        <v>13</v>
      </c>
      <c r="E3707" t="s">
        <v>2693</v>
      </c>
      <c r="F3707">
        <v>4900</v>
      </c>
      <c r="G3707" t="s">
        <v>41</v>
      </c>
      <c r="H3707" t="s">
        <v>16</v>
      </c>
      <c r="I3707" t="s">
        <v>1993</v>
      </c>
      <c r="J3707" t="s">
        <v>1994</v>
      </c>
      <c r="K3707" t="s">
        <v>1809</v>
      </c>
      <c r="L3707" t="str">
        <f>HYPERLINK("https://business-monitor.ch/de/companies/470763-immondo-ag-die-immobilienwelt?utm_source=oberaargau","PROFIL ANSEHEN")</f>
        <v>PROFIL ANSEHEN</v>
      </c>
    </row>
    <row r="3708" spans="1:12" x14ac:dyDescent="0.2">
      <c r="A3708" t="s">
        <v>10343</v>
      </c>
      <c r="B3708" t="s">
        <v>12299</v>
      </c>
      <c r="C3708" t="s">
        <v>202</v>
      </c>
      <c r="E3708" t="s">
        <v>10344</v>
      </c>
      <c r="F3708">
        <v>4914</v>
      </c>
      <c r="G3708" t="s">
        <v>105</v>
      </c>
      <c r="H3708" t="s">
        <v>16</v>
      </c>
      <c r="I3708" t="s">
        <v>1855</v>
      </c>
      <c r="J3708" t="s">
        <v>1856</v>
      </c>
      <c r="K3708" t="s">
        <v>1809</v>
      </c>
      <c r="L3708" t="str">
        <f>HYPERLINK("https://business-monitor.ch/de/companies/542952-meyflowers-gmbh?utm_source=oberaargau","PROFIL ANSEHEN")</f>
        <v>PROFIL ANSEHEN</v>
      </c>
    </row>
    <row r="3709" spans="1:12" x14ac:dyDescent="0.2">
      <c r="A3709" t="s">
        <v>8325</v>
      </c>
      <c r="B3709" t="s">
        <v>8326</v>
      </c>
      <c r="C3709" t="s">
        <v>202</v>
      </c>
      <c r="E3709" t="s">
        <v>8327</v>
      </c>
      <c r="F3709">
        <v>4922</v>
      </c>
      <c r="G3709" t="s">
        <v>1318</v>
      </c>
      <c r="H3709" t="s">
        <v>16</v>
      </c>
      <c r="I3709" t="s">
        <v>6874</v>
      </c>
      <c r="J3709" t="s">
        <v>6875</v>
      </c>
      <c r="K3709" t="s">
        <v>1809</v>
      </c>
      <c r="L3709" t="str">
        <f>HYPERLINK("https://business-monitor.ch/de/companies/342902-klaus-kohler-gmbh?utm_source=oberaargau","PROFIL ANSEHEN")</f>
        <v>PROFIL ANSEHEN</v>
      </c>
    </row>
    <row r="3710" spans="1:12" x14ac:dyDescent="0.2">
      <c r="A3710" t="s">
        <v>6925</v>
      </c>
      <c r="B3710" t="s">
        <v>6926</v>
      </c>
      <c r="C3710" t="s">
        <v>1812</v>
      </c>
      <c r="E3710" t="s">
        <v>6927</v>
      </c>
      <c r="F3710">
        <v>4900</v>
      </c>
      <c r="G3710" t="s">
        <v>41</v>
      </c>
      <c r="H3710" t="s">
        <v>16</v>
      </c>
      <c r="I3710" t="s">
        <v>4221</v>
      </c>
      <c r="J3710" t="s">
        <v>4222</v>
      </c>
      <c r="K3710" t="s">
        <v>1809</v>
      </c>
      <c r="L3710" t="str">
        <f>HYPERLINK("https://business-monitor.ch/de/companies/11678-textfabrik-hans-juerg-schmied?utm_source=oberaargau","PROFIL ANSEHEN")</f>
        <v>PROFIL ANSEHEN</v>
      </c>
    </row>
    <row r="3711" spans="1:12" x14ac:dyDescent="0.2">
      <c r="A3711" t="s">
        <v>13021</v>
      </c>
      <c r="B3711" t="s">
        <v>13022</v>
      </c>
      <c r="C3711" t="s">
        <v>2178</v>
      </c>
      <c r="E3711" t="s">
        <v>1190</v>
      </c>
      <c r="F3711">
        <v>4900</v>
      </c>
      <c r="G3711" t="s">
        <v>41</v>
      </c>
      <c r="H3711" t="s">
        <v>16</v>
      </c>
      <c r="I3711" t="s">
        <v>642</v>
      </c>
      <c r="J3711" t="s">
        <v>643</v>
      </c>
      <c r="K3711" t="s">
        <v>1809</v>
      </c>
      <c r="L3711" t="str">
        <f>HYPERLINK("https://business-monitor.ch/de/companies/1231177-lueg-ag-zweigniederlassung-langenthal?utm_source=oberaargau","PROFIL ANSEHEN")</f>
        <v>PROFIL ANSEHEN</v>
      </c>
    </row>
    <row r="3712" spans="1:12" x14ac:dyDescent="0.2">
      <c r="A3712" t="s">
        <v>2013</v>
      </c>
      <c r="B3712" t="s">
        <v>2014</v>
      </c>
      <c r="C3712" t="s">
        <v>1812</v>
      </c>
      <c r="E3712" t="s">
        <v>2015</v>
      </c>
      <c r="F3712">
        <v>4912</v>
      </c>
      <c r="G3712" t="s">
        <v>64</v>
      </c>
      <c r="H3712" t="s">
        <v>16</v>
      </c>
      <c r="I3712" t="s">
        <v>260</v>
      </c>
      <c r="J3712" t="s">
        <v>261</v>
      </c>
      <c r="K3712" t="s">
        <v>1809</v>
      </c>
      <c r="L3712" t="str">
        <f>HYPERLINK("https://business-monitor.ch/de/companies/183063-zuercher-hans-ulrich?utm_source=oberaargau","PROFIL ANSEHEN")</f>
        <v>PROFIL ANSEHEN</v>
      </c>
    </row>
    <row r="3713" spans="1:12" x14ac:dyDescent="0.2">
      <c r="A3713" t="s">
        <v>13286</v>
      </c>
      <c r="B3713" t="s">
        <v>13287</v>
      </c>
      <c r="C3713" t="s">
        <v>202</v>
      </c>
      <c r="E3713" t="s">
        <v>13288</v>
      </c>
      <c r="F3713">
        <v>4938</v>
      </c>
      <c r="G3713" t="s">
        <v>618</v>
      </c>
      <c r="H3713" t="s">
        <v>16</v>
      </c>
      <c r="I3713" t="s">
        <v>3876</v>
      </c>
      <c r="J3713" t="s">
        <v>3877</v>
      </c>
      <c r="K3713" t="s">
        <v>1809</v>
      </c>
      <c r="L3713" t="str">
        <f>HYPERLINK("https://business-monitor.ch/de/companies/1246645-hanswerk-gmbh?utm_source=oberaargau","PROFIL ANSEHEN")</f>
        <v>PROFIL ANSEHEN</v>
      </c>
    </row>
    <row r="3714" spans="1:12" x14ac:dyDescent="0.2">
      <c r="A3714" t="s">
        <v>13078</v>
      </c>
      <c r="B3714" t="s">
        <v>13079</v>
      </c>
      <c r="C3714" t="s">
        <v>1812</v>
      </c>
      <c r="E3714" t="s">
        <v>13080</v>
      </c>
      <c r="F3714">
        <v>4922</v>
      </c>
      <c r="G3714" t="s">
        <v>1318</v>
      </c>
      <c r="H3714" t="s">
        <v>16</v>
      </c>
      <c r="I3714" t="s">
        <v>1841</v>
      </c>
      <c r="J3714" t="s">
        <v>1842</v>
      </c>
      <c r="K3714" t="s">
        <v>1809</v>
      </c>
      <c r="L3714" t="str">
        <f>HYPERLINK("https://business-monitor.ch/de/companies/1238917-gesundheitspraxis-belinda-gugelmann?utm_source=oberaargau","PROFIL ANSEHEN")</f>
        <v>PROFIL ANSEHEN</v>
      </c>
    </row>
    <row r="3715" spans="1:12" x14ac:dyDescent="0.2">
      <c r="A3715" t="s">
        <v>7823</v>
      </c>
      <c r="B3715" t="s">
        <v>14593</v>
      </c>
      <c r="C3715" t="s">
        <v>1812</v>
      </c>
      <c r="E3715" t="s">
        <v>1400</v>
      </c>
      <c r="F3715">
        <v>3375</v>
      </c>
      <c r="G3715" t="s">
        <v>667</v>
      </c>
      <c r="H3715" t="s">
        <v>16</v>
      </c>
      <c r="I3715" t="s">
        <v>1053</v>
      </c>
      <c r="J3715" t="s">
        <v>1054</v>
      </c>
      <c r="K3715" t="s">
        <v>1809</v>
      </c>
      <c r="L3715" t="str">
        <f>HYPERLINK("https://business-monitor.ch/de/companies/536034-didis-welt-inh-renate-schmocker?utm_source=oberaargau","PROFIL ANSEHEN")</f>
        <v>PROFIL ANSEHEN</v>
      </c>
    </row>
    <row r="3716" spans="1:12" x14ac:dyDescent="0.2">
      <c r="A3716" t="s">
        <v>2160</v>
      </c>
      <c r="B3716" t="s">
        <v>9005</v>
      </c>
      <c r="C3716" t="s">
        <v>1812</v>
      </c>
      <c r="E3716" t="s">
        <v>4212</v>
      </c>
      <c r="F3716">
        <v>4900</v>
      </c>
      <c r="G3716" t="s">
        <v>41</v>
      </c>
      <c r="H3716" t="s">
        <v>16</v>
      </c>
      <c r="I3716" t="s">
        <v>629</v>
      </c>
      <c r="J3716" t="s">
        <v>630</v>
      </c>
      <c r="K3716" t="s">
        <v>1809</v>
      </c>
      <c r="L3716" t="str">
        <f>HYPERLINK("https://business-monitor.ch/de/companies/233886-mauro-grossud?utm_source=oberaargau","PROFIL ANSEHEN")</f>
        <v>PROFIL ANSEHEN</v>
      </c>
    </row>
    <row r="3717" spans="1:12" x14ac:dyDescent="0.2">
      <c r="A3717" t="s">
        <v>5730</v>
      </c>
      <c r="B3717" t="s">
        <v>5731</v>
      </c>
      <c r="C3717" t="s">
        <v>1812</v>
      </c>
      <c r="E3717" t="s">
        <v>2586</v>
      </c>
      <c r="F3717">
        <v>4536</v>
      </c>
      <c r="G3717" t="s">
        <v>1395</v>
      </c>
      <c r="H3717" t="s">
        <v>16</v>
      </c>
      <c r="I3717" t="s">
        <v>5732</v>
      </c>
      <c r="J3717" t="s">
        <v>5733</v>
      </c>
      <c r="K3717" t="s">
        <v>1809</v>
      </c>
      <c r="L3717" t="str">
        <f>HYPERLINK("https://business-monitor.ch/de/companies/13916-bettwaren-hohl?utm_source=oberaargau","PROFIL ANSEHEN")</f>
        <v>PROFIL ANSEHEN</v>
      </c>
    </row>
    <row r="3718" spans="1:12" x14ac:dyDescent="0.2">
      <c r="A3718" t="s">
        <v>925</v>
      </c>
      <c r="B3718" t="s">
        <v>926</v>
      </c>
      <c r="C3718" t="s">
        <v>202</v>
      </c>
      <c r="E3718" t="s">
        <v>927</v>
      </c>
      <c r="F3718">
        <v>4914</v>
      </c>
      <c r="G3718" t="s">
        <v>105</v>
      </c>
      <c r="H3718" t="s">
        <v>16</v>
      </c>
      <c r="I3718" t="s">
        <v>928</v>
      </c>
      <c r="J3718" t="s">
        <v>929</v>
      </c>
      <c r="K3718" t="s">
        <v>1809</v>
      </c>
      <c r="L3718" t="str">
        <f>HYPERLINK("https://business-monitor.ch/de/companies/437614-mydomi-gmbh?utm_source=oberaargau","PROFIL ANSEHEN")</f>
        <v>PROFIL ANSEHEN</v>
      </c>
    </row>
    <row r="3719" spans="1:12" x14ac:dyDescent="0.2">
      <c r="A3719" t="s">
        <v>8520</v>
      </c>
      <c r="B3719" t="s">
        <v>8521</v>
      </c>
      <c r="C3719" t="s">
        <v>1812</v>
      </c>
      <c r="E3719" t="s">
        <v>6960</v>
      </c>
      <c r="F3719">
        <v>4950</v>
      </c>
      <c r="G3719" t="s">
        <v>15</v>
      </c>
      <c r="H3719" t="s">
        <v>16</v>
      </c>
      <c r="I3719" t="s">
        <v>2939</v>
      </c>
      <c r="J3719" t="s">
        <v>2940</v>
      </c>
      <c r="K3719" t="s">
        <v>1809</v>
      </c>
      <c r="L3719" t="str">
        <f>HYPERLINK("https://business-monitor.ch/de/companies/503017-suter-s-bike-ambulance?utm_source=oberaargau","PROFIL ANSEHEN")</f>
        <v>PROFIL ANSEHEN</v>
      </c>
    </row>
    <row r="3720" spans="1:12" x14ac:dyDescent="0.2">
      <c r="A3720" t="s">
        <v>4266</v>
      </c>
      <c r="B3720" t="s">
        <v>4267</v>
      </c>
      <c r="C3720" t="s">
        <v>202</v>
      </c>
      <c r="E3720" t="s">
        <v>4265</v>
      </c>
      <c r="F3720">
        <v>4704</v>
      </c>
      <c r="G3720" t="s">
        <v>221</v>
      </c>
      <c r="H3720" t="s">
        <v>16</v>
      </c>
      <c r="I3720" t="s">
        <v>1865</v>
      </c>
      <c r="J3720" t="s">
        <v>1866</v>
      </c>
      <c r="K3720" t="s">
        <v>1809</v>
      </c>
      <c r="L3720" t="str">
        <f>HYPERLINK("https://business-monitor.ch/de/companies/986298-elster-51-gmbh?utm_source=oberaargau","PROFIL ANSEHEN")</f>
        <v>PROFIL ANSEHEN</v>
      </c>
    </row>
    <row r="3721" spans="1:12" x14ac:dyDescent="0.2">
      <c r="A3721" t="s">
        <v>8660</v>
      </c>
      <c r="B3721" t="s">
        <v>8661</v>
      </c>
      <c r="C3721" t="s">
        <v>1812</v>
      </c>
      <c r="E3721" t="s">
        <v>8662</v>
      </c>
      <c r="F3721">
        <v>4538</v>
      </c>
      <c r="G3721" t="s">
        <v>71</v>
      </c>
      <c r="H3721" t="s">
        <v>16</v>
      </c>
      <c r="I3721" t="s">
        <v>733</v>
      </c>
      <c r="J3721" t="s">
        <v>734</v>
      </c>
      <c r="K3721" t="s">
        <v>1809</v>
      </c>
      <c r="L3721" t="str">
        <f>HYPERLINK("https://business-monitor.ch/de/companies/455023-aslani-autohandel?utm_source=oberaargau","PROFIL ANSEHEN")</f>
        <v>PROFIL ANSEHEN</v>
      </c>
    </row>
    <row r="3722" spans="1:12" x14ac:dyDescent="0.2">
      <c r="A3722" t="s">
        <v>9872</v>
      </c>
      <c r="B3722" t="s">
        <v>9873</v>
      </c>
      <c r="C3722" t="s">
        <v>1812</v>
      </c>
      <c r="E3722" t="s">
        <v>9874</v>
      </c>
      <c r="F3722">
        <v>4950</v>
      </c>
      <c r="G3722" t="s">
        <v>15</v>
      </c>
      <c r="H3722" t="s">
        <v>16</v>
      </c>
      <c r="I3722" t="s">
        <v>1401</v>
      </c>
      <c r="J3722" t="s">
        <v>1402</v>
      </c>
      <c r="K3722" t="s">
        <v>1809</v>
      </c>
      <c r="L3722" t="str">
        <f>HYPERLINK("https://business-monitor.ch/de/companies/980583-blumen-meiller-nachfolgerin-michaela-eymann?utm_source=oberaargau","PROFIL ANSEHEN")</f>
        <v>PROFIL ANSEHEN</v>
      </c>
    </row>
    <row r="3723" spans="1:12" x14ac:dyDescent="0.2">
      <c r="A3723" t="s">
        <v>12568</v>
      </c>
      <c r="B3723" t="s">
        <v>12569</v>
      </c>
      <c r="C3723" t="s">
        <v>202</v>
      </c>
      <c r="E3723" t="s">
        <v>2359</v>
      </c>
      <c r="F3723">
        <v>4704</v>
      </c>
      <c r="G3723" t="s">
        <v>221</v>
      </c>
      <c r="H3723" t="s">
        <v>16</v>
      </c>
      <c r="I3723" t="s">
        <v>4039</v>
      </c>
      <c r="J3723" t="s">
        <v>4040</v>
      </c>
      <c r="K3723" t="s">
        <v>1809</v>
      </c>
      <c r="L3723" t="str">
        <f>HYPERLINK("https://business-monitor.ch/de/companies/1214655-movecenter-gmbh?utm_source=oberaargau","PROFIL ANSEHEN")</f>
        <v>PROFIL ANSEHEN</v>
      </c>
    </row>
    <row r="3724" spans="1:12" x14ac:dyDescent="0.2">
      <c r="A3724" t="s">
        <v>5203</v>
      </c>
      <c r="B3724" t="s">
        <v>5204</v>
      </c>
      <c r="C3724" t="s">
        <v>13</v>
      </c>
      <c r="E3724" t="s">
        <v>5205</v>
      </c>
      <c r="F3724">
        <v>4900</v>
      </c>
      <c r="G3724" t="s">
        <v>41</v>
      </c>
      <c r="H3724" t="s">
        <v>16</v>
      </c>
      <c r="I3724" t="s">
        <v>935</v>
      </c>
      <c r="J3724" t="s">
        <v>936</v>
      </c>
      <c r="K3724" t="s">
        <v>1809</v>
      </c>
      <c r="L3724" t="str">
        <f>HYPERLINK("https://business-monitor.ch/de/companies/183265-domast-ag?utm_source=oberaargau","PROFIL ANSEHEN")</f>
        <v>PROFIL ANSEHEN</v>
      </c>
    </row>
    <row r="3725" spans="1:12" x14ac:dyDescent="0.2">
      <c r="A3725" t="s">
        <v>2566</v>
      </c>
      <c r="B3725" t="s">
        <v>2567</v>
      </c>
      <c r="C3725" t="s">
        <v>202</v>
      </c>
      <c r="E3725" t="s">
        <v>2568</v>
      </c>
      <c r="F3725">
        <v>4900</v>
      </c>
      <c r="G3725" t="s">
        <v>41</v>
      </c>
      <c r="H3725" t="s">
        <v>16</v>
      </c>
      <c r="I3725" t="s">
        <v>2569</v>
      </c>
      <c r="J3725" t="s">
        <v>2570</v>
      </c>
      <c r="K3725" t="s">
        <v>1809</v>
      </c>
      <c r="L3725" t="str">
        <f>HYPERLINK("https://business-monitor.ch/de/companies/510242-fine-gastro-goods-gmbh?utm_source=oberaargau","PROFIL ANSEHEN")</f>
        <v>PROFIL ANSEHEN</v>
      </c>
    </row>
    <row r="3726" spans="1:12" x14ac:dyDescent="0.2">
      <c r="A3726" t="s">
        <v>7352</v>
      </c>
      <c r="B3726" t="s">
        <v>7353</v>
      </c>
      <c r="C3726" t="s">
        <v>1812</v>
      </c>
      <c r="E3726" t="s">
        <v>7354</v>
      </c>
      <c r="F3726">
        <v>4900</v>
      </c>
      <c r="G3726" t="s">
        <v>41</v>
      </c>
      <c r="H3726" t="s">
        <v>16</v>
      </c>
      <c r="I3726" t="s">
        <v>2842</v>
      </c>
      <c r="J3726" t="s">
        <v>2843</v>
      </c>
      <c r="K3726" t="s">
        <v>1809</v>
      </c>
      <c r="L3726" t="str">
        <f>HYPERLINK("https://business-monitor.ch/de/companies/983016-schenk-solutions?utm_source=oberaargau","PROFIL ANSEHEN")</f>
        <v>PROFIL ANSEHEN</v>
      </c>
    </row>
    <row r="3727" spans="1:12" x14ac:dyDescent="0.2">
      <c r="A3727" t="s">
        <v>9332</v>
      </c>
      <c r="B3727" t="s">
        <v>9333</v>
      </c>
      <c r="C3727" t="s">
        <v>13</v>
      </c>
      <c r="D3727" t="s">
        <v>9334</v>
      </c>
      <c r="E3727" t="s">
        <v>9335</v>
      </c>
      <c r="F3727">
        <v>4922</v>
      </c>
      <c r="G3727" t="s">
        <v>1318</v>
      </c>
      <c r="H3727" t="s">
        <v>16</v>
      </c>
      <c r="I3727" t="s">
        <v>935</v>
      </c>
      <c r="J3727" t="s">
        <v>936</v>
      </c>
      <c r="K3727" t="s">
        <v>1809</v>
      </c>
      <c r="L3727" t="str">
        <f>HYPERLINK("https://business-monitor.ch/de/companies/83025-univent-ag?utm_source=oberaargau","PROFIL ANSEHEN")</f>
        <v>PROFIL ANSEHEN</v>
      </c>
    </row>
    <row r="3728" spans="1:12" x14ac:dyDescent="0.2">
      <c r="A3728" t="s">
        <v>5967</v>
      </c>
      <c r="B3728" t="s">
        <v>5968</v>
      </c>
      <c r="C3728" t="s">
        <v>13</v>
      </c>
      <c r="E3728" t="s">
        <v>636</v>
      </c>
      <c r="F3728">
        <v>4953</v>
      </c>
      <c r="G3728" t="s">
        <v>416</v>
      </c>
      <c r="H3728" t="s">
        <v>16</v>
      </c>
      <c r="I3728" t="s">
        <v>304</v>
      </c>
      <c r="J3728" t="s">
        <v>305</v>
      </c>
      <c r="K3728" t="s">
        <v>1809</v>
      </c>
      <c r="L3728" t="str">
        <f>HYPERLINK("https://business-monitor.ch/de/companies/459825-hdew-technikpark-ag?utm_source=oberaargau","PROFIL ANSEHEN")</f>
        <v>PROFIL ANSEHEN</v>
      </c>
    </row>
    <row r="3729" spans="1:12" x14ac:dyDescent="0.2">
      <c r="A3729" t="s">
        <v>2404</v>
      </c>
      <c r="B3729" t="s">
        <v>5545</v>
      </c>
      <c r="C3729" t="s">
        <v>1812</v>
      </c>
      <c r="E3729" t="s">
        <v>5546</v>
      </c>
      <c r="F3729">
        <v>4537</v>
      </c>
      <c r="G3729" t="s">
        <v>113</v>
      </c>
      <c r="H3729" t="s">
        <v>16</v>
      </c>
      <c r="I3729" t="s">
        <v>1936</v>
      </c>
      <c r="J3729" t="s">
        <v>1937</v>
      </c>
      <c r="K3729" t="s">
        <v>1809</v>
      </c>
      <c r="L3729" t="str">
        <f>HYPERLINK("https://business-monitor.ch/de/companies/20525-mosco-moser-consulting?utm_source=oberaargau","PROFIL ANSEHEN")</f>
        <v>PROFIL ANSEHEN</v>
      </c>
    </row>
    <row r="3730" spans="1:12" x14ac:dyDescent="0.2">
      <c r="A3730" t="s">
        <v>3030</v>
      </c>
      <c r="B3730" t="s">
        <v>3031</v>
      </c>
      <c r="C3730" t="s">
        <v>2010</v>
      </c>
      <c r="E3730" t="s">
        <v>14363</v>
      </c>
      <c r="F3730">
        <v>3368</v>
      </c>
      <c r="G3730" t="s">
        <v>308</v>
      </c>
      <c r="H3730" t="s">
        <v>16</v>
      </c>
      <c r="I3730" t="s">
        <v>139</v>
      </c>
      <c r="J3730" t="s">
        <v>140</v>
      </c>
      <c r="K3730" t="s">
        <v>1809</v>
      </c>
      <c r="L3730" t="str">
        <f>HYPERLINK("https://business-monitor.ch/de/companies/1062137-foreign-service-network-kmg?utm_source=oberaargau","PROFIL ANSEHEN")</f>
        <v>PROFIL ANSEHEN</v>
      </c>
    </row>
    <row r="3731" spans="1:12" x14ac:dyDescent="0.2">
      <c r="A3731" t="s">
        <v>5316</v>
      </c>
      <c r="B3731" t="s">
        <v>5317</v>
      </c>
      <c r="C3731" t="s">
        <v>1812</v>
      </c>
      <c r="E3731" t="s">
        <v>5318</v>
      </c>
      <c r="F3731">
        <v>4704</v>
      </c>
      <c r="G3731" t="s">
        <v>221</v>
      </c>
      <c r="H3731" t="s">
        <v>16</v>
      </c>
      <c r="I3731" t="s">
        <v>2748</v>
      </c>
      <c r="J3731" t="s">
        <v>2749</v>
      </c>
      <c r="K3731" t="s">
        <v>1809</v>
      </c>
      <c r="L3731" t="str">
        <f>HYPERLINK("https://business-monitor.ch/de/companies/418499-hundepower-flueck?utm_source=oberaargau","PROFIL ANSEHEN")</f>
        <v>PROFIL ANSEHEN</v>
      </c>
    </row>
    <row r="3732" spans="1:12" x14ac:dyDescent="0.2">
      <c r="A3732" t="s">
        <v>1137</v>
      </c>
      <c r="B3732" t="s">
        <v>5463</v>
      </c>
      <c r="C3732" t="s">
        <v>1812</v>
      </c>
      <c r="E3732" t="s">
        <v>5464</v>
      </c>
      <c r="F3732">
        <v>4537</v>
      </c>
      <c r="G3732" t="s">
        <v>113</v>
      </c>
      <c r="H3732" t="s">
        <v>16</v>
      </c>
      <c r="I3732" t="s">
        <v>464</v>
      </c>
      <c r="J3732" t="s">
        <v>465</v>
      </c>
      <c r="K3732" t="s">
        <v>1809</v>
      </c>
      <c r="L3732" t="str">
        <f>HYPERLINK("https://business-monitor.ch/de/companies/188967-christen-hans-transporte-pneu?utm_source=oberaargau","PROFIL ANSEHEN")</f>
        <v>PROFIL ANSEHEN</v>
      </c>
    </row>
    <row r="3733" spans="1:12" x14ac:dyDescent="0.2">
      <c r="A3733" t="s">
        <v>2758</v>
      </c>
      <c r="B3733" t="s">
        <v>2759</v>
      </c>
      <c r="C3733" t="s">
        <v>202</v>
      </c>
      <c r="E3733" t="s">
        <v>2760</v>
      </c>
      <c r="F3733">
        <v>4922</v>
      </c>
      <c r="G3733" t="s">
        <v>1318</v>
      </c>
      <c r="H3733" t="s">
        <v>16</v>
      </c>
      <c r="I3733" t="s">
        <v>2067</v>
      </c>
      <c r="J3733" t="s">
        <v>2068</v>
      </c>
      <c r="K3733" t="s">
        <v>1809</v>
      </c>
      <c r="L3733" t="str">
        <f>HYPERLINK("https://business-monitor.ch/de/companies/445939-michael-schneider-gmbh?utm_source=oberaargau","PROFIL ANSEHEN")</f>
        <v>PROFIL ANSEHEN</v>
      </c>
    </row>
    <row r="3734" spans="1:12" x14ac:dyDescent="0.2">
      <c r="A3734" t="s">
        <v>11175</v>
      </c>
      <c r="B3734" t="s">
        <v>11176</v>
      </c>
      <c r="C3734" t="s">
        <v>13</v>
      </c>
      <c r="E3734" t="s">
        <v>10411</v>
      </c>
      <c r="F3734">
        <v>4900</v>
      </c>
      <c r="G3734" t="s">
        <v>41</v>
      </c>
      <c r="H3734" t="s">
        <v>16</v>
      </c>
      <c r="I3734" t="s">
        <v>1945</v>
      </c>
      <c r="J3734" t="s">
        <v>1946</v>
      </c>
      <c r="K3734" t="s">
        <v>1809</v>
      </c>
      <c r="L3734" t="str">
        <f>HYPERLINK("https://business-monitor.ch/de/companies/1134634-ruckstuhl-bestattungen-ag?utm_source=oberaargau","PROFIL ANSEHEN")</f>
        <v>PROFIL ANSEHEN</v>
      </c>
    </row>
    <row r="3735" spans="1:12" x14ac:dyDescent="0.2">
      <c r="A3735" t="s">
        <v>13151</v>
      </c>
      <c r="B3735" t="s">
        <v>13152</v>
      </c>
      <c r="C3735" t="s">
        <v>13</v>
      </c>
      <c r="E3735" t="s">
        <v>7429</v>
      </c>
      <c r="F3735">
        <v>4936</v>
      </c>
      <c r="G3735" t="s">
        <v>768</v>
      </c>
      <c r="H3735" t="s">
        <v>16</v>
      </c>
      <c r="I3735" t="s">
        <v>186</v>
      </c>
      <c r="J3735" t="s">
        <v>187</v>
      </c>
      <c r="K3735" t="s">
        <v>1809</v>
      </c>
      <c r="L3735" t="str">
        <f>HYPERLINK("https://business-monitor.ch/de/companies/1241068-swiss-rockstar-holding-ag?utm_source=oberaargau","PROFIL ANSEHEN")</f>
        <v>PROFIL ANSEHEN</v>
      </c>
    </row>
    <row r="3736" spans="1:12" x14ac:dyDescent="0.2">
      <c r="A3736" t="s">
        <v>8804</v>
      </c>
      <c r="B3736" t="s">
        <v>8805</v>
      </c>
      <c r="C3736" t="s">
        <v>202</v>
      </c>
      <c r="E3736" t="s">
        <v>3009</v>
      </c>
      <c r="F3736">
        <v>3367</v>
      </c>
      <c r="G3736" t="s">
        <v>455</v>
      </c>
      <c r="H3736" t="s">
        <v>16</v>
      </c>
      <c r="I3736" t="s">
        <v>260</v>
      </c>
      <c r="J3736" t="s">
        <v>261</v>
      </c>
      <c r="K3736" t="s">
        <v>1809</v>
      </c>
      <c r="L3736" t="str">
        <f>HYPERLINK("https://business-monitor.ch/de/companies/449292-snb-baumanagement-gmbh?utm_source=oberaargau","PROFIL ANSEHEN")</f>
        <v>PROFIL ANSEHEN</v>
      </c>
    </row>
    <row r="3737" spans="1:12" x14ac:dyDescent="0.2">
      <c r="A3737" t="s">
        <v>5793</v>
      </c>
      <c r="B3737" t="s">
        <v>7207</v>
      </c>
      <c r="C3737" t="s">
        <v>202</v>
      </c>
      <c r="E3737" t="s">
        <v>446</v>
      </c>
      <c r="F3737">
        <v>4900</v>
      </c>
      <c r="G3737" t="s">
        <v>41</v>
      </c>
      <c r="H3737" t="s">
        <v>16</v>
      </c>
      <c r="I3737" t="s">
        <v>551</v>
      </c>
      <c r="J3737" t="s">
        <v>552</v>
      </c>
      <c r="K3737" t="s">
        <v>1809</v>
      </c>
      <c r="L3737" t="str">
        <f>HYPERLINK("https://business-monitor.ch/de/companies/1036657-rovall-dl-gmbh?utm_source=oberaargau","PROFIL ANSEHEN")</f>
        <v>PROFIL ANSEHEN</v>
      </c>
    </row>
    <row r="3738" spans="1:12" x14ac:dyDescent="0.2">
      <c r="A3738" t="s">
        <v>9757</v>
      </c>
      <c r="B3738" t="s">
        <v>9758</v>
      </c>
      <c r="C3738" t="s">
        <v>13</v>
      </c>
      <c r="D3738" t="s">
        <v>490</v>
      </c>
      <c r="E3738" t="s">
        <v>491</v>
      </c>
      <c r="F3738">
        <v>4900</v>
      </c>
      <c r="G3738" t="s">
        <v>41</v>
      </c>
      <c r="H3738" t="s">
        <v>16</v>
      </c>
      <c r="I3738" t="s">
        <v>153</v>
      </c>
      <c r="J3738" t="s">
        <v>154</v>
      </c>
      <c r="K3738" t="s">
        <v>1809</v>
      </c>
      <c r="L3738" t="str">
        <f>HYPERLINK("https://business-monitor.ch/de/companies/1029872-novus-innovation-ag?utm_source=oberaargau","PROFIL ANSEHEN")</f>
        <v>PROFIL ANSEHEN</v>
      </c>
    </row>
    <row r="3739" spans="1:12" x14ac:dyDescent="0.2">
      <c r="A3739" t="s">
        <v>11056</v>
      </c>
      <c r="B3739" t="s">
        <v>11057</v>
      </c>
      <c r="C3739" t="s">
        <v>1812</v>
      </c>
      <c r="E3739" t="s">
        <v>7788</v>
      </c>
      <c r="F3739">
        <v>4950</v>
      </c>
      <c r="G3739" t="s">
        <v>15</v>
      </c>
      <c r="H3739" t="s">
        <v>16</v>
      </c>
      <c r="I3739" t="s">
        <v>2226</v>
      </c>
      <c r="J3739" t="s">
        <v>2227</v>
      </c>
      <c r="K3739" t="s">
        <v>1809</v>
      </c>
      <c r="L3739" t="str">
        <f>HYPERLINK("https://business-monitor.ch/de/companies/517608-craniosacrale-osteopathie-haas?utm_source=oberaargau","PROFIL ANSEHEN")</f>
        <v>PROFIL ANSEHEN</v>
      </c>
    </row>
    <row r="3740" spans="1:12" x14ac:dyDescent="0.2">
      <c r="A3740" t="s">
        <v>5985</v>
      </c>
      <c r="B3740" t="s">
        <v>5986</v>
      </c>
      <c r="C3740" t="s">
        <v>202</v>
      </c>
      <c r="E3740" t="s">
        <v>5987</v>
      </c>
      <c r="F3740">
        <v>4900</v>
      </c>
      <c r="G3740" t="s">
        <v>41</v>
      </c>
      <c r="H3740" t="s">
        <v>16</v>
      </c>
      <c r="I3740" t="s">
        <v>2275</v>
      </c>
      <c r="J3740" t="s">
        <v>2276</v>
      </c>
      <c r="K3740" t="s">
        <v>1809</v>
      </c>
      <c r="L3740" t="str">
        <f>HYPERLINK("https://business-monitor.ch/de/companies/454397-happyheim-gmbh?utm_source=oberaargau","PROFIL ANSEHEN")</f>
        <v>PROFIL ANSEHEN</v>
      </c>
    </row>
    <row r="3741" spans="1:12" x14ac:dyDescent="0.2">
      <c r="A3741" t="s">
        <v>4754</v>
      </c>
      <c r="B3741" t="s">
        <v>4755</v>
      </c>
      <c r="C3741" t="s">
        <v>202</v>
      </c>
      <c r="E3741" t="s">
        <v>2629</v>
      </c>
      <c r="F3741">
        <v>4912</v>
      </c>
      <c r="G3741" t="s">
        <v>64</v>
      </c>
      <c r="H3741" t="s">
        <v>16</v>
      </c>
      <c r="I3741" t="s">
        <v>186</v>
      </c>
      <c r="J3741" t="s">
        <v>187</v>
      </c>
      <c r="K3741" t="s">
        <v>1809</v>
      </c>
      <c r="L3741" t="str">
        <f>HYPERLINK("https://business-monitor.ch/de/companies/576489-ali-10-gmbh?utm_source=oberaargau","PROFIL ANSEHEN")</f>
        <v>PROFIL ANSEHEN</v>
      </c>
    </row>
    <row r="3742" spans="1:12" x14ac:dyDescent="0.2">
      <c r="A3742" t="s">
        <v>7323</v>
      </c>
      <c r="B3742" t="s">
        <v>7324</v>
      </c>
      <c r="C3742" t="s">
        <v>1827</v>
      </c>
      <c r="E3742" t="s">
        <v>3485</v>
      </c>
      <c r="F3742">
        <v>4900</v>
      </c>
      <c r="G3742" t="s">
        <v>41</v>
      </c>
      <c r="H3742" t="s">
        <v>16</v>
      </c>
      <c r="I3742" t="s">
        <v>824</v>
      </c>
      <c r="J3742" t="s">
        <v>825</v>
      </c>
      <c r="K3742" t="s">
        <v>1809</v>
      </c>
      <c r="L3742" t="str">
        <f>HYPERLINK("https://business-monitor.ch/de/companies/997542-l-angolino-klg?utm_source=oberaargau","PROFIL ANSEHEN")</f>
        <v>PROFIL ANSEHEN</v>
      </c>
    </row>
    <row r="3743" spans="1:12" x14ac:dyDescent="0.2">
      <c r="A3743" t="s">
        <v>4154</v>
      </c>
      <c r="B3743" t="s">
        <v>4155</v>
      </c>
      <c r="C3743" t="s">
        <v>1812</v>
      </c>
      <c r="E3743" t="s">
        <v>10844</v>
      </c>
      <c r="F3743">
        <v>4900</v>
      </c>
      <c r="G3743" t="s">
        <v>41</v>
      </c>
      <c r="H3743" t="s">
        <v>16</v>
      </c>
      <c r="I3743" t="s">
        <v>1062</v>
      </c>
      <c r="J3743" t="s">
        <v>1063</v>
      </c>
      <c r="K3743" t="s">
        <v>1809</v>
      </c>
      <c r="L3743" t="str">
        <f>HYPERLINK("https://business-monitor.ch/de/companies/1016697-sahiti-keramische-wand-bodenbelaege?utm_source=oberaargau","PROFIL ANSEHEN")</f>
        <v>PROFIL ANSEHEN</v>
      </c>
    </row>
    <row r="3744" spans="1:12" x14ac:dyDescent="0.2">
      <c r="A3744" t="s">
        <v>10879</v>
      </c>
      <c r="B3744" t="s">
        <v>10880</v>
      </c>
      <c r="C3744" t="s">
        <v>202</v>
      </c>
      <c r="E3744" t="s">
        <v>5235</v>
      </c>
      <c r="F3744">
        <v>4913</v>
      </c>
      <c r="G3744" t="s">
        <v>207</v>
      </c>
      <c r="H3744" t="s">
        <v>16</v>
      </c>
      <c r="I3744" t="s">
        <v>624</v>
      </c>
      <c r="J3744" t="s">
        <v>625</v>
      </c>
      <c r="K3744" t="s">
        <v>1809</v>
      </c>
      <c r="L3744" t="str">
        <f>HYPERLINK("https://business-monitor.ch/de/companies/1101104-kantholz-gmbh?utm_source=oberaargau","PROFIL ANSEHEN")</f>
        <v>PROFIL ANSEHEN</v>
      </c>
    </row>
    <row r="3745" spans="1:12" x14ac:dyDescent="0.2">
      <c r="A3745" t="s">
        <v>9628</v>
      </c>
      <c r="B3745" t="s">
        <v>9629</v>
      </c>
      <c r="C3745" t="s">
        <v>1812</v>
      </c>
      <c r="E3745" t="s">
        <v>12740</v>
      </c>
      <c r="F3745">
        <v>3367</v>
      </c>
      <c r="G3745" t="s">
        <v>455</v>
      </c>
      <c r="H3745" t="s">
        <v>16</v>
      </c>
      <c r="I3745" t="s">
        <v>1855</v>
      </c>
      <c r="J3745" t="s">
        <v>1856</v>
      </c>
      <c r="K3745" t="s">
        <v>1809</v>
      </c>
      <c r="L3745" t="str">
        <f>HYPERLINK("https://business-monitor.ch/de/companies/980817-pedicure-siegenthaler-fusspflegestudio?utm_source=oberaargau","PROFIL ANSEHEN")</f>
        <v>PROFIL ANSEHEN</v>
      </c>
    </row>
    <row r="3746" spans="1:12" x14ac:dyDescent="0.2">
      <c r="A3746" t="s">
        <v>3869</v>
      </c>
      <c r="B3746" t="s">
        <v>3870</v>
      </c>
      <c r="C3746" t="s">
        <v>202</v>
      </c>
      <c r="E3746" t="s">
        <v>10729</v>
      </c>
      <c r="F3746">
        <v>4539</v>
      </c>
      <c r="G3746" t="s">
        <v>1134</v>
      </c>
      <c r="H3746" t="s">
        <v>16</v>
      </c>
      <c r="I3746" t="s">
        <v>24</v>
      </c>
      <c r="J3746" t="s">
        <v>25</v>
      </c>
      <c r="K3746" t="s">
        <v>1809</v>
      </c>
      <c r="L3746" t="str">
        <f>HYPERLINK("https://business-monitor.ch/de/companies/1043534-it-consulting-eggenschwiler-gmbh?utm_source=oberaargau","PROFIL ANSEHEN")</f>
        <v>PROFIL ANSEHEN</v>
      </c>
    </row>
    <row r="3747" spans="1:12" x14ac:dyDescent="0.2">
      <c r="A3747" t="s">
        <v>6698</v>
      </c>
      <c r="B3747" t="s">
        <v>6699</v>
      </c>
      <c r="C3747" t="s">
        <v>13</v>
      </c>
      <c r="E3747" t="s">
        <v>6700</v>
      </c>
      <c r="F3747">
        <v>4704</v>
      </c>
      <c r="G3747" t="s">
        <v>221</v>
      </c>
      <c r="H3747" t="s">
        <v>16</v>
      </c>
      <c r="I3747" t="s">
        <v>570</v>
      </c>
      <c r="J3747" t="s">
        <v>571</v>
      </c>
      <c r="K3747" t="s">
        <v>1809</v>
      </c>
      <c r="L3747" t="str">
        <f>HYPERLINK("https://business-monitor.ch/de/companies/156357-bero-ag-heizsysteme?utm_source=oberaargau","PROFIL ANSEHEN")</f>
        <v>PROFIL ANSEHEN</v>
      </c>
    </row>
    <row r="3748" spans="1:12" x14ac:dyDescent="0.2">
      <c r="A3748" t="s">
        <v>7741</v>
      </c>
      <c r="B3748" t="s">
        <v>7742</v>
      </c>
      <c r="C3748" t="s">
        <v>202</v>
      </c>
      <c r="D3748" t="s">
        <v>7743</v>
      </c>
      <c r="E3748" t="s">
        <v>7744</v>
      </c>
      <c r="F3748">
        <v>3360</v>
      </c>
      <c r="G3748" t="s">
        <v>35</v>
      </c>
      <c r="H3748" t="s">
        <v>16</v>
      </c>
      <c r="I3748" t="s">
        <v>1535</v>
      </c>
      <c r="J3748" t="s">
        <v>1536</v>
      </c>
      <c r="K3748" t="s">
        <v>1809</v>
      </c>
      <c r="L3748" t="str">
        <f>HYPERLINK("https://business-monitor.ch/de/companies/587669-bertschy-unternehmungen-gmbh?utm_source=oberaargau","PROFIL ANSEHEN")</f>
        <v>PROFIL ANSEHEN</v>
      </c>
    </row>
    <row r="3749" spans="1:12" x14ac:dyDescent="0.2">
      <c r="A3749" t="s">
        <v>13500</v>
      </c>
      <c r="B3749" t="s">
        <v>13501</v>
      </c>
      <c r="C3749" t="s">
        <v>202</v>
      </c>
      <c r="E3749" t="s">
        <v>14594</v>
      </c>
      <c r="F3749">
        <v>4900</v>
      </c>
      <c r="G3749" t="s">
        <v>41</v>
      </c>
      <c r="H3749" t="s">
        <v>16</v>
      </c>
      <c r="I3749" t="s">
        <v>134</v>
      </c>
      <c r="J3749" t="s">
        <v>135</v>
      </c>
      <c r="K3749" t="s">
        <v>1809</v>
      </c>
      <c r="L3749" t="str">
        <f>HYPERLINK("https://business-monitor.ch/de/companies/1244837-biedermann-montagen-gmbh?utm_source=oberaargau","PROFIL ANSEHEN")</f>
        <v>PROFIL ANSEHEN</v>
      </c>
    </row>
    <row r="3750" spans="1:12" x14ac:dyDescent="0.2">
      <c r="A3750" t="s">
        <v>7189</v>
      </c>
      <c r="B3750" t="s">
        <v>7190</v>
      </c>
      <c r="C3750" t="s">
        <v>1812</v>
      </c>
      <c r="E3750" t="s">
        <v>3268</v>
      </c>
      <c r="F3750">
        <v>4900</v>
      </c>
      <c r="G3750" t="s">
        <v>41</v>
      </c>
      <c r="H3750" t="s">
        <v>16</v>
      </c>
      <c r="I3750" t="s">
        <v>1210</v>
      </c>
      <c r="J3750" t="s">
        <v>1211</v>
      </c>
      <c r="K3750" t="s">
        <v>1809</v>
      </c>
      <c r="L3750" t="str">
        <f>HYPERLINK("https://business-monitor.ch/de/companies/1050057-buetteli-manufaktur-doris-mathys?utm_source=oberaargau","PROFIL ANSEHEN")</f>
        <v>PROFIL ANSEHEN</v>
      </c>
    </row>
    <row r="3751" spans="1:12" x14ac:dyDescent="0.2">
      <c r="A3751" t="s">
        <v>8699</v>
      </c>
      <c r="B3751" t="s">
        <v>8700</v>
      </c>
      <c r="C3751" t="s">
        <v>202</v>
      </c>
      <c r="E3751" t="s">
        <v>8701</v>
      </c>
      <c r="F3751">
        <v>4704</v>
      </c>
      <c r="G3751" t="s">
        <v>221</v>
      </c>
      <c r="H3751" t="s">
        <v>16</v>
      </c>
      <c r="I3751" t="s">
        <v>1889</v>
      </c>
      <c r="J3751" t="s">
        <v>1890</v>
      </c>
      <c r="K3751" t="s">
        <v>1809</v>
      </c>
      <c r="L3751" t="str">
        <f>HYPERLINK("https://business-monitor.ch/de/companies/402182-matek-transport-gmbh?utm_source=oberaargau","PROFIL ANSEHEN")</f>
        <v>PROFIL ANSEHEN</v>
      </c>
    </row>
    <row r="3752" spans="1:12" x14ac:dyDescent="0.2">
      <c r="A3752" t="s">
        <v>8493</v>
      </c>
      <c r="B3752" t="s">
        <v>8494</v>
      </c>
      <c r="C3752" t="s">
        <v>13</v>
      </c>
      <c r="E3752" t="s">
        <v>12759</v>
      </c>
      <c r="F3752">
        <v>4938</v>
      </c>
      <c r="G3752" t="s">
        <v>618</v>
      </c>
      <c r="H3752" t="s">
        <v>16</v>
      </c>
      <c r="I3752" t="s">
        <v>800</v>
      </c>
      <c r="J3752" t="s">
        <v>801</v>
      </c>
      <c r="K3752" t="s">
        <v>1809</v>
      </c>
      <c r="L3752" t="str">
        <f>HYPERLINK("https://business-monitor.ch/de/companies/511777-h-z-rohrbach-ag?utm_source=oberaargau","PROFIL ANSEHEN")</f>
        <v>PROFIL ANSEHEN</v>
      </c>
    </row>
    <row r="3753" spans="1:12" x14ac:dyDescent="0.2">
      <c r="A3753" t="s">
        <v>6860</v>
      </c>
      <c r="B3753" t="s">
        <v>9407</v>
      </c>
      <c r="C3753" t="s">
        <v>1812</v>
      </c>
      <c r="E3753" t="s">
        <v>5492</v>
      </c>
      <c r="F3753">
        <v>3375</v>
      </c>
      <c r="G3753" t="s">
        <v>667</v>
      </c>
      <c r="H3753" t="s">
        <v>16</v>
      </c>
      <c r="I3753" t="s">
        <v>4213</v>
      </c>
      <c r="J3753" t="s">
        <v>4214</v>
      </c>
      <c r="K3753" t="s">
        <v>1809</v>
      </c>
      <c r="L3753" t="str">
        <f>HYPERLINK("https://business-monitor.ch/de/companies/39125-helene-meier?utm_source=oberaargau","PROFIL ANSEHEN")</f>
        <v>PROFIL ANSEHEN</v>
      </c>
    </row>
    <row r="3754" spans="1:12" x14ac:dyDescent="0.2">
      <c r="A3754" t="s">
        <v>13862</v>
      </c>
      <c r="B3754" t="s">
        <v>13863</v>
      </c>
      <c r="C3754" t="s">
        <v>1812</v>
      </c>
      <c r="E3754" t="s">
        <v>12934</v>
      </c>
      <c r="F3754">
        <v>4938</v>
      </c>
      <c r="G3754" t="s">
        <v>1909</v>
      </c>
      <c r="H3754" t="s">
        <v>16</v>
      </c>
      <c r="I3754" t="s">
        <v>551</v>
      </c>
      <c r="J3754" t="s">
        <v>552</v>
      </c>
      <c r="K3754" t="s">
        <v>1809</v>
      </c>
      <c r="L3754" t="str">
        <f>HYPERLINK("https://business-monitor.ch/de/companies/1271840-bron-consulting?utm_source=oberaargau","PROFIL ANSEHEN")</f>
        <v>PROFIL ANSEHEN</v>
      </c>
    </row>
    <row r="3755" spans="1:12" x14ac:dyDescent="0.2">
      <c r="A3755" t="s">
        <v>2717</v>
      </c>
      <c r="B3755" t="s">
        <v>2718</v>
      </c>
      <c r="C3755" t="s">
        <v>1812</v>
      </c>
      <c r="E3755" t="s">
        <v>2719</v>
      </c>
      <c r="F3755">
        <v>3373</v>
      </c>
      <c r="G3755" t="s">
        <v>2429</v>
      </c>
      <c r="H3755" t="s">
        <v>16</v>
      </c>
      <c r="I3755" t="s">
        <v>1401</v>
      </c>
      <c r="J3755" t="s">
        <v>1402</v>
      </c>
      <c r="K3755" t="s">
        <v>1809</v>
      </c>
      <c r="L3755" t="str">
        <f>HYPERLINK("https://business-monitor.ch/de/companies/461093-sunnaeschuer-wittwer?utm_source=oberaargau","PROFIL ANSEHEN")</f>
        <v>PROFIL ANSEHEN</v>
      </c>
    </row>
    <row r="3756" spans="1:12" x14ac:dyDescent="0.2">
      <c r="A3756" t="s">
        <v>14059</v>
      </c>
      <c r="B3756" t="s">
        <v>14595</v>
      </c>
      <c r="C3756" t="s">
        <v>1812</v>
      </c>
      <c r="E3756" t="s">
        <v>12300</v>
      </c>
      <c r="F3756">
        <v>4932</v>
      </c>
      <c r="G3756" t="s">
        <v>325</v>
      </c>
      <c r="H3756" t="s">
        <v>16</v>
      </c>
      <c r="I3756" t="s">
        <v>7350</v>
      </c>
      <c r="J3756" t="s">
        <v>7351</v>
      </c>
      <c r="K3756" t="s">
        <v>1809</v>
      </c>
      <c r="L3756" t="str">
        <f>HYPERLINK("https://business-monitor.ch/de/companies/1273840-illi-umzug-inh-saloum?utm_source=oberaargau","PROFIL ANSEHEN")</f>
        <v>PROFIL ANSEHEN</v>
      </c>
    </row>
    <row r="3757" spans="1:12" x14ac:dyDescent="0.2">
      <c r="A3757" t="s">
        <v>14596</v>
      </c>
      <c r="B3757" t="s">
        <v>14597</v>
      </c>
      <c r="C3757" t="s">
        <v>1812</v>
      </c>
      <c r="E3757" t="s">
        <v>14598</v>
      </c>
      <c r="F3757">
        <v>4912</v>
      </c>
      <c r="G3757" t="s">
        <v>64</v>
      </c>
      <c r="H3757" t="s">
        <v>16</v>
      </c>
      <c r="I3757" t="s">
        <v>1485</v>
      </c>
      <c r="J3757" t="s">
        <v>1486</v>
      </c>
      <c r="K3757" t="s">
        <v>1809</v>
      </c>
      <c r="L3757" t="str">
        <f>HYPERLINK("https://business-monitor.ch/de/companies/1308800-garcia-abarca-food?utm_source=oberaargau","PROFIL ANSEHEN")</f>
        <v>PROFIL ANSEHEN</v>
      </c>
    </row>
    <row r="3758" spans="1:12" x14ac:dyDescent="0.2">
      <c r="A3758" t="s">
        <v>12261</v>
      </c>
      <c r="B3758" t="s">
        <v>12262</v>
      </c>
      <c r="C3758" t="s">
        <v>202</v>
      </c>
      <c r="E3758" t="s">
        <v>12263</v>
      </c>
      <c r="F3758">
        <v>4536</v>
      </c>
      <c r="G3758" t="s">
        <v>1395</v>
      </c>
      <c r="H3758" t="s">
        <v>16</v>
      </c>
      <c r="I3758" t="s">
        <v>186</v>
      </c>
      <c r="J3758" t="s">
        <v>187</v>
      </c>
      <c r="K3758" t="s">
        <v>1809</v>
      </c>
      <c r="L3758" t="str">
        <f>HYPERLINK("https://business-monitor.ch/de/companies/1190366-istvan-mueller-holding-gmbh?utm_source=oberaargau","PROFIL ANSEHEN")</f>
        <v>PROFIL ANSEHEN</v>
      </c>
    </row>
    <row r="3759" spans="1:12" x14ac:dyDescent="0.2">
      <c r="A3759" t="s">
        <v>4187</v>
      </c>
      <c r="B3759" t="s">
        <v>4188</v>
      </c>
      <c r="C3759" t="s">
        <v>202</v>
      </c>
      <c r="E3759" t="s">
        <v>4189</v>
      </c>
      <c r="F3759">
        <v>4704</v>
      </c>
      <c r="G3759" t="s">
        <v>221</v>
      </c>
      <c r="H3759" t="s">
        <v>16</v>
      </c>
      <c r="I3759" t="s">
        <v>1535</v>
      </c>
      <c r="J3759" t="s">
        <v>1536</v>
      </c>
      <c r="K3759" t="s">
        <v>1809</v>
      </c>
      <c r="L3759" t="str">
        <f>HYPERLINK("https://business-monitor.ch/de/companies/1010098-drossel-42-gmbh?utm_source=oberaargau","PROFIL ANSEHEN")</f>
        <v>PROFIL ANSEHEN</v>
      </c>
    </row>
    <row r="3760" spans="1:12" x14ac:dyDescent="0.2">
      <c r="A3760" t="s">
        <v>3658</v>
      </c>
      <c r="B3760" t="s">
        <v>3659</v>
      </c>
      <c r="C3760" t="s">
        <v>1812</v>
      </c>
      <c r="E3760" t="s">
        <v>3660</v>
      </c>
      <c r="F3760">
        <v>4950</v>
      </c>
      <c r="G3760" t="s">
        <v>15</v>
      </c>
      <c r="H3760" t="s">
        <v>16</v>
      </c>
      <c r="I3760" t="s">
        <v>1337</v>
      </c>
      <c r="J3760" t="s">
        <v>1338</v>
      </c>
      <c r="K3760" t="s">
        <v>1809</v>
      </c>
      <c r="L3760" t="str">
        <f>HYPERLINK("https://business-monitor.ch/de/companies/55468-sport-service-kraehenbuehl?utm_source=oberaargau","PROFIL ANSEHEN")</f>
        <v>PROFIL ANSEHEN</v>
      </c>
    </row>
    <row r="3761" spans="1:12" x14ac:dyDescent="0.2">
      <c r="A3761" t="s">
        <v>13265</v>
      </c>
      <c r="B3761" t="s">
        <v>13266</v>
      </c>
      <c r="C3761" t="s">
        <v>202</v>
      </c>
      <c r="D3761" t="s">
        <v>13267</v>
      </c>
      <c r="E3761" t="s">
        <v>12905</v>
      </c>
      <c r="F3761">
        <v>4932</v>
      </c>
      <c r="G3761" t="s">
        <v>325</v>
      </c>
      <c r="H3761" t="s">
        <v>16</v>
      </c>
      <c r="I3761" t="s">
        <v>469</v>
      </c>
      <c r="J3761" t="s">
        <v>470</v>
      </c>
      <c r="K3761" t="s">
        <v>1809</v>
      </c>
      <c r="L3761" t="str">
        <f>HYPERLINK("https://business-monitor.ch/de/companies/1161406-profimill-gmbh?utm_source=oberaargau","PROFIL ANSEHEN")</f>
        <v>PROFIL ANSEHEN</v>
      </c>
    </row>
    <row r="3762" spans="1:12" x14ac:dyDescent="0.2">
      <c r="A3762" t="s">
        <v>11661</v>
      </c>
      <c r="B3762" t="s">
        <v>11662</v>
      </c>
      <c r="C3762" t="s">
        <v>1827</v>
      </c>
      <c r="E3762" t="s">
        <v>11663</v>
      </c>
      <c r="F3762">
        <v>3476</v>
      </c>
      <c r="G3762" t="s">
        <v>3506</v>
      </c>
      <c r="H3762" t="s">
        <v>16</v>
      </c>
      <c r="I3762" t="s">
        <v>2897</v>
      </c>
      <c r="J3762" t="s">
        <v>2898</v>
      </c>
      <c r="K3762" t="s">
        <v>1809</v>
      </c>
      <c r="L3762" t="str">
        <f>HYPERLINK("https://business-monitor.ch/de/companies/1162616-martin-und-peter-eberhard-klg?utm_source=oberaargau","PROFIL ANSEHEN")</f>
        <v>PROFIL ANSEHEN</v>
      </c>
    </row>
    <row r="3763" spans="1:12" x14ac:dyDescent="0.2">
      <c r="A3763" t="s">
        <v>3348</v>
      </c>
      <c r="B3763" t="s">
        <v>3349</v>
      </c>
      <c r="C3763" t="s">
        <v>13</v>
      </c>
      <c r="E3763" t="s">
        <v>3350</v>
      </c>
      <c r="F3763">
        <v>4922</v>
      </c>
      <c r="G3763" t="s">
        <v>99</v>
      </c>
      <c r="H3763" t="s">
        <v>16</v>
      </c>
      <c r="I3763" t="s">
        <v>845</v>
      </c>
      <c r="J3763" t="s">
        <v>846</v>
      </c>
      <c r="K3763" t="s">
        <v>1809</v>
      </c>
      <c r="L3763" t="str">
        <f>HYPERLINK("https://business-monitor.ch/de/companies/217859-bruno-kalt-ag?utm_source=oberaargau","PROFIL ANSEHEN")</f>
        <v>PROFIL ANSEHEN</v>
      </c>
    </row>
    <row r="3764" spans="1:12" x14ac:dyDescent="0.2">
      <c r="A3764" t="s">
        <v>11969</v>
      </c>
      <c r="B3764" t="s">
        <v>11970</v>
      </c>
      <c r="C3764" t="s">
        <v>1812</v>
      </c>
      <c r="E3764" t="s">
        <v>11971</v>
      </c>
      <c r="F3764">
        <v>4900</v>
      </c>
      <c r="G3764" t="s">
        <v>41</v>
      </c>
      <c r="H3764" t="s">
        <v>16</v>
      </c>
      <c r="I3764" t="s">
        <v>1835</v>
      </c>
      <c r="J3764" t="s">
        <v>1836</v>
      </c>
      <c r="K3764" t="s">
        <v>1809</v>
      </c>
      <c r="L3764" t="str">
        <f>HYPERLINK("https://business-monitor.ch/de/companies/1163886-azra-reinigung-inh-ukshini?utm_source=oberaargau","PROFIL ANSEHEN")</f>
        <v>PROFIL ANSEHEN</v>
      </c>
    </row>
    <row r="3765" spans="1:12" x14ac:dyDescent="0.2">
      <c r="A3765" t="s">
        <v>8623</v>
      </c>
      <c r="B3765" t="s">
        <v>8624</v>
      </c>
      <c r="C3765" t="s">
        <v>1812</v>
      </c>
      <c r="E3765" t="s">
        <v>8625</v>
      </c>
      <c r="F3765">
        <v>4704</v>
      </c>
      <c r="G3765" t="s">
        <v>221</v>
      </c>
      <c r="H3765" t="s">
        <v>16</v>
      </c>
      <c r="I3765" t="s">
        <v>1852</v>
      </c>
      <c r="J3765" t="s">
        <v>1853</v>
      </c>
      <c r="K3765" t="s">
        <v>1809</v>
      </c>
      <c r="L3765" t="str">
        <f>HYPERLINK("https://business-monitor.ch/de/companies/443916-r-boesiger?utm_source=oberaargau","PROFIL ANSEHEN")</f>
        <v>PROFIL ANSEHEN</v>
      </c>
    </row>
    <row r="3766" spans="1:12" x14ac:dyDescent="0.2">
      <c r="A3766" t="s">
        <v>11116</v>
      </c>
      <c r="B3766" t="s">
        <v>11117</v>
      </c>
      <c r="C3766" t="s">
        <v>1812</v>
      </c>
      <c r="E3766" t="s">
        <v>3472</v>
      </c>
      <c r="F3766">
        <v>4900</v>
      </c>
      <c r="G3766" t="s">
        <v>41</v>
      </c>
      <c r="H3766" t="s">
        <v>16</v>
      </c>
      <c r="I3766" t="s">
        <v>1818</v>
      </c>
      <c r="J3766" t="s">
        <v>1819</v>
      </c>
      <c r="K3766" t="s">
        <v>1809</v>
      </c>
      <c r="L3766" t="str">
        <f>HYPERLINK("https://business-monitor.ch/de/companies/1112272-schweizerische-mobiliar-versicherungsgesellschaft-generalagentur-langenthal-valerie-bodenmueller?utm_source=oberaargau","PROFIL ANSEHEN")</f>
        <v>PROFIL ANSEHEN</v>
      </c>
    </row>
    <row r="3767" spans="1:12" x14ac:dyDescent="0.2">
      <c r="A3767" t="s">
        <v>3568</v>
      </c>
      <c r="B3767" t="s">
        <v>3569</v>
      </c>
      <c r="C3767" t="s">
        <v>202</v>
      </c>
      <c r="E3767" t="s">
        <v>3570</v>
      </c>
      <c r="F3767">
        <v>4953</v>
      </c>
      <c r="G3767" t="s">
        <v>2311</v>
      </c>
      <c r="H3767" t="s">
        <v>16</v>
      </c>
      <c r="I3767" t="s">
        <v>96</v>
      </c>
      <c r="J3767" t="s">
        <v>97</v>
      </c>
      <c r="K3767" t="s">
        <v>1809</v>
      </c>
      <c r="L3767" t="str">
        <f>HYPERLINK("https://business-monitor.ch/de/companies/110520-scalata-kletterwand-gmbh?utm_source=oberaargau","PROFIL ANSEHEN")</f>
        <v>PROFIL ANSEHEN</v>
      </c>
    </row>
    <row r="3768" spans="1:12" x14ac:dyDescent="0.2">
      <c r="A3768" t="s">
        <v>2574</v>
      </c>
      <c r="B3768" t="s">
        <v>2575</v>
      </c>
      <c r="C3768" t="s">
        <v>13</v>
      </c>
      <c r="E3768" t="s">
        <v>11092</v>
      </c>
      <c r="F3768">
        <v>4557</v>
      </c>
      <c r="G3768" t="s">
        <v>11093</v>
      </c>
      <c r="H3768" t="s">
        <v>16</v>
      </c>
      <c r="I3768" t="s">
        <v>935</v>
      </c>
      <c r="J3768" t="s">
        <v>936</v>
      </c>
      <c r="K3768" t="s">
        <v>1809</v>
      </c>
      <c r="L3768" t="str">
        <f>HYPERLINK("https://business-monitor.ch/de/companies/505758-3-2-immo-ag?utm_source=oberaargau","PROFIL ANSEHEN")</f>
        <v>PROFIL ANSEHEN</v>
      </c>
    </row>
    <row r="3769" spans="1:12" x14ac:dyDescent="0.2">
      <c r="A3769" t="s">
        <v>9287</v>
      </c>
      <c r="B3769" t="s">
        <v>9288</v>
      </c>
      <c r="C3769" t="s">
        <v>2258</v>
      </c>
      <c r="E3769" t="s">
        <v>2301</v>
      </c>
      <c r="F3769">
        <v>4914</v>
      </c>
      <c r="G3769" t="s">
        <v>717</v>
      </c>
      <c r="H3769" t="s">
        <v>16</v>
      </c>
      <c r="I3769" t="s">
        <v>3272</v>
      </c>
      <c r="J3769" t="s">
        <v>3273</v>
      </c>
      <c r="K3769" t="s">
        <v>1809</v>
      </c>
      <c r="L3769" t="str">
        <f>HYPERLINK("https://business-monitor.ch/de/companies/101076-gurdwara-sri-guru-singh-sabha?utm_source=oberaargau","PROFIL ANSEHEN")</f>
        <v>PROFIL ANSEHEN</v>
      </c>
    </row>
    <row r="3770" spans="1:12" x14ac:dyDescent="0.2">
      <c r="A3770" t="s">
        <v>532</v>
      </c>
      <c r="B3770" t="s">
        <v>10430</v>
      </c>
      <c r="C3770" t="s">
        <v>2010</v>
      </c>
      <c r="F3770">
        <v>4539</v>
      </c>
      <c r="G3770" t="s">
        <v>1134</v>
      </c>
      <c r="H3770" t="s">
        <v>16</v>
      </c>
      <c r="I3770" t="s">
        <v>2397</v>
      </c>
      <c r="J3770" t="s">
        <v>2398</v>
      </c>
      <c r="K3770" t="s">
        <v>1809</v>
      </c>
      <c r="L3770" t="str">
        <f>HYPERLINK("https://business-monitor.ch/de/companies/101700-meyer-cie?utm_source=oberaargau","PROFIL ANSEHEN")</f>
        <v>PROFIL ANSEHEN</v>
      </c>
    </row>
    <row r="3771" spans="1:12" x14ac:dyDescent="0.2">
      <c r="A3771" t="s">
        <v>5859</v>
      </c>
      <c r="B3771" t="s">
        <v>5860</v>
      </c>
      <c r="C3771" t="s">
        <v>13</v>
      </c>
      <c r="D3771" t="s">
        <v>1739</v>
      </c>
      <c r="E3771" t="s">
        <v>747</v>
      </c>
      <c r="F3771">
        <v>4900</v>
      </c>
      <c r="G3771" t="s">
        <v>41</v>
      </c>
      <c r="H3771" t="s">
        <v>16</v>
      </c>
      <c r="I3771" t="s">
        <v>186</v>
      </c>
      <c r="J3771" t="s">
        <v>187</v>
      </c>
      <c r="K3771" t="s">
        <v>1809</v>
      </c>
      <c r="L3771" t="str">
        <f>HYPERLINK("https://business-monitor.ch/de/companies/509872-chg-holding-ag?utm_source=oberaargau","PROFIL ANSEHEN")</f>
        <v>PROFIL ANSEHEN</v>
      </c>
    </row>
    <row r="3772" spans="1:12" x14ac:dyDescent="0.2">
      <c r="A3772" t="s">
        <v>11576</v>
      </c>
      <c r="B3772" t="s">
        <v>11577</v>
      </c>
      <c r="C3772" t="s">
        <v>202</v>
      </c>
      <c r="E3772" t="s">
        <v>11483</v>
      </c>
      <c r="F3772">
        <v>4950</v>
      </c>
      <c r="G3772" t="s">
        <v>15</v>
      </c>
      <c r="H3772" t="s">
        <v>16</v>
      </c>
      <c r="I3772" t="s">
        <v>11578</v>
      </c>
      <c r="J3772" t="s">
        <v>11579</v>
      </c>
      <c r="K3772" t="s">
        <v>1809</v>
      </c>
      <c r="L3772" t="str">
        <f>HYPERLINK("https://business-monitor.ch/de/companies/124319-denimpex-gmbh?utm_source=oberaargau","PROFIL ANSEHEN")</f>
        <v>PROFIL ANSEHEN</v>
      </c>
    </row>
    <row r="3773" spans="1:12" x14ac:dyDescent="0.2">
      <c r="A3773" t="s">
        <v>9945</v>
      </c>
      <c r="B3773" t="s">
        <v>9946</v>
      </c>
      <c r="C3773" t="s">
        <v>202</v>
      </c>
      <c r="E3773" t="s">
        <v>13837</v>
      </c>
      <c r="F3773">
        <v>3373</v>
      </c>
      <c r="G3773" t="s">
        <v>2429</v>
      </c>
      <c r="H3773" t="s">
        <v>16</v>
      </c>
      <c r="I3773" t="s">
        <v>570</v>
      </c>
      <c r="J3773" t="s">
        <v>571</v>
      </c>
      <c r="K3773" t="s">
        <v>1809</v>
      </c>
      <c r="L3773" t="str">
        <f>HYPERLINK("https://business-monitor.ch/de/companies/948565-kaelte-tietz-gmbh?utm_source=oberaargau","PROFIL ANSEHEN")</f>
        <v>PROFIL ANSEHEN</v>
      </c>
    </row>
    <row r="3774" spans="1:12" x14ac:dyDescent="0.2">
      <c r="A3774" t="s">
        <v>9474</v>
      </c>
      <c r="B3774" t="s">
        <v>9475</v>
      </c>
      <c r="C3774" t="s">
        <v>202</v>
      </c>
      <c r="E3774" t="s">
        <v>4863</v>
      </c>
      <c r="F3774">
        <v>4934</v>
      </c>
      <c r="G3774" t="s">
        <v>670</v>
      </c>
      <c r="H3774" t="s">
        <v>16</v>
      </c>
      <c r="I3774" t="s">
        <v>1350</v>
      </c>
      <c r="J3774" t="s">
        <v>1351</v>
      </c>
      <c r="K3774" t="s">
        <v>1809</v>
      </c>
      <c r="L3774" t="str">
        <f>HYPERLINK("https://business-monitor.ch/de/companies/2837-frutiger-tiefbau-und-transport-gmbh?utm_source=oberaargau","PROFIL ANSEHEN")</f>
        <v>PROFIL ANSEHEN</v>
      </c>
    </row>
    <row r="3775" spans="1:12" x14ac:dyDescent="0.2">
      <c r="A3775" t="s">
        <v>13172</v>
      </c>
      <c r="B3775" t="s">
        <v>13173</v>
      </c>
      <c r="C3775" t="s">
        <v>1812</v>
      </c>
      <c r="E3775" t="s">
        <v>13174</v>
      </c>
      <c r="F3775">
        <v>4923</v>
      </c>
      <c r="G3775" t="s">
        <v>732</v>
      </c>
      <c r="H3775" t="s">
        <v>16</v>
      </c>
      <c r="I3775" t="s">
        <v>997</v>
      </c>
      <c r="J3775" t="s">
        <v>998</v>
      </c>
      <c r="K3775" t="s">
        <v>1809</v>
      </c>
      <c r="L3775" t="str">
        <f>HYPERLINK("https://business-monitor.ch/de/companies/1229211-roman-styner-custom?utm_source=oberaargau","PROFIL ANSEHEN")</f>
        <v>PROFIL ANSEHEN</v>
      </c>
    </row>
    <row r="3776" spans="1:12" x14ac:dyDescent="0.2">
      <c r="A3776" t="s">
        <v>9249</v>
      </c>
      <c r="B3776" t="s">
        <v>9250</v>
      </c>
      <c r="C3776" t="s">
        <v>1812</v>
      </c>
      <c r="E3776" t="s">
        <v>9251</v>
      </c>
      <c r="F3776">
        <v>3375</v>
      </c>
      <c r="G3776" t="s">
        <v>667</v>
      </c>
      <c r="H3776" t="s">
        <v>16</v>
      </c>
      <c r="I3776" t="s">
        <v>464</v>
      </c>
      <c r="J3776" t="s">
        <v>465</v>
      </c>
      <c r="K3776" t="s">
        <v>1809</v>
      </c>
      <c r="L3776" t="str">
        <f>HYPERLINK("https://business-monitor.ch/de/companies/119256-marcel-jenzer?utm_source=oberaargau","PROFIL ANSEHEN")</f>
        <v>PROFIL ANSEHEN</v>
      </c>
    </row>
    <row r="3777" spans="1:12" x14ac:dyDescent="0.2">
      <c r="A3777" t="s">
        <v>9220</v>
      </c>
      <c r="B3777" t="s">
        <v>9221</v>
      </c>
      <c r="C3777" t="s">
        <v>13</v>
      </c>
      <c r="E3777" t="s">
        <v>9222</v>
      </c>
      <c r="F3777">
        <v>4900</v>
      </c>
      <c r="G3777" t="s">
        <v>41</v>
      </c>
      <c r="H3777" t="s">
        <v>16</v>
      </c>
      <c r="I3777" t="s">
        <v>2327</v>
      </c>
      <c r="J3777" t="s">
        <v>2328</v>
      </c>
      <c r="K3777" t="s">
        <v>1809</v>
      </c>
      <c r="L3777" t="str">
        <f>HYPERLINK("https://business-monitor.ch/de/companies/134937-blumenhalle-haeusermann-ag?utm_source=oberaargau","PROFIL ANSEHEN")</f>
        <v>PROFIL ANSEHEN</v>
      </c>
    </row>
    <row r="3778" spans="1:12" x14ac:dyDescent="0.2">
      <c r="A3778" t="s">
        <v>3463</v>
      </c>
      <c r="B3778" t="s">
        <v>3464</v>
      </c>
      <c r="C3778" t="s">
        <v>13</v>
      </c>
      <c r="E3778" t="s">
        <v>3465</v>
      </c>
      <c r="F3778">
        <v>4922</v>
      </c>
      <c r="G3778" t="s">
        <v>1318</v>
      </c>
      <c r="H3778" t="s">
        <v>16</v>
      </c>
      <c r="I3778" t="s">
        <v>232</v>
      </c>
      <c r="J3778" t="s">
        <v>233</v>
      </c>
      <c r="K3778" t="s">
        <v>1809</v>
      </c>
      <c r="L3778" t="str">
        <f>HYPERLINK("https://business-monitor.ch/de/companies/170945-willy-waelchli-treuhand-ag?utm_source=oberaargau","PROFIL ANSEHEN")</f>
        <v>PROFIL ANSEHEN</v>
      </c>
    </row>
    <row r="3779" spans="1:12" x14ac:dyDescent="0.2">
      <c r="A3779" t="s">
        <v>5041</v>
      </c>
      <c r="B3779" t="s">
        <v>5042</v>
      </c>
      <c r="C3779" t="s">
        <v>1812</v>
      </c>
      <c r="E3779" t="s">
        <v>5043</v>
      </c>
      <c r="F3779">
        <v>3380</v>
      </c>
      <c r="G3779" t="s">
        <v>29</v>
      </c>
      <c r="H3779" t="s">
        <v>16</v>
      </c>
      <c r="I3779" t="s">
        <v>77</v>
      </c>
      <c r="J3779" t="s">
        <v>78</v>
      </c>
      <c r="K3779" t="s">
        <v>1809</v>
      </c>
      <c r="L3779" t="str">
        <f>HYPERLINK("https://business-monitor.ch/de/companies/173745-baugeschaeft-heinz-wagner?utm_source=oberaargau","PROFIL ANSEHEN")</f>
        <v>PROFIL ANSEHEN</v>
      </c>
    </row>
    <row r="3780" spans="1:12" x14ac:dyDescent="0.2">
      <c r="A3780" t="s">
        <v>8178</v>
      </c>
      <c r="B3780" t="s">
        <v>11212</v>
      </c>
      <c r="C3780" t="s">
        <v>13</v>
      </c>
      <c r="E3780" t="s">
        <v>11213</v>
      </c>
      <c r="F3780">
        <v>3360</v>
      </c>
      <c r="G3780" t="s">
        <v>35</v>
      </c>
      <c r="H3780" t="s">
        <v>16</v>
      </c>
      <c r="I3780" t="s">
        <v>935</v>
      </c>
      <c r="J3780" t="s">
        <v>936</v>
      </c>
      <c r="K3780" t="s">
        <v>1809</v>
      </c>
      <c r="L3780" t="str">
        <f>HYPERLINK("https://business-monitor.ch/de/companies/173757-perrelet-immobilien-ag?utm_source=oberaargau","PROFIL ANSEHEN")</f>
        <v>PROFIL ANSEHEN</v>
      </c>
    </row>
    <row r="3781" spans="1:12" x14ac:dyDescent="0.2">
      <c r="A3781" t="s">
        <v>14122</v>
      </c>
      <c r="B3781" t="s">
        <v>14123</v>
      </c>
      <c r="C3781" t="s">
        <v>1812</v>
      </c>
      <c r="E3781" t="s">
        <v>13270</v>
      </c>
      <c r="F3781">
        <v>4900</v>
      </c>
      <c r="G3781" t="s">
        <v>41</v>
      </c>
      <c r="H3781" t="s">
        <v>16</v>
      </c>
      <c r="I3781" t="s">
        <v>733</v>
      </c>
      <c r="J3781" t="s">
        <v>734</v>
      </c>
      <c r="K3781" t="s">
        <v>1809</v>
      </c>
      <c r="L3781" t="str">
        <f>HYPERLINK("https://business-monitor.ch/de/companies/1288484-mimi-autohandel-transporte-inh-mitrovic?utm_source=oberaargau","PROFIL ANSEHEN")</f>
        <v>PROFIL ANSEHEN</v>
      </c>
    </row>
    <row r="3782" spans="1:12" x14ac:dyDescent="0.2">
      <c r="A3782" t="s">
        <v>1530</v>
      </c>
      <c r="B3782" t="s">
        <v>5050</v>
      </c>
      <c r="C3782" t="s">
        <v>1812</v>
      </c>
      <c r="E3782" t="s">
        <v>2966</v>
      </c>
      <c r="F3782">
        <v>4537</v>
      </c>
      <c r="G3782" t="s">
        <v>113</v>
      </c>
      <c r="H3782" t="s">
        <v>16</v>
      </c>
      <c r="I3782" t="s">
        <v>175</v>
      </c>
      <c r="J3782" t="s">
        <v>176</v>
      </c>
      <c r="K3782" t="s">
        <v>1809</v>
      </c>
      <c r="L3782" t="str">
        <f>HYPERLINK("https://business-monitor.ch/de/companies/173744-carrosserie-schneider?utm_source=oberaargau","PROFIL ANSEHEN")</f>
        <v>PROFIL ANSEHEN</v>
      </c>
    </row>
    <row r="3783" spans="1:12" x14ac:dyDescent="0.2">
      <c r="A3783" t="s">
        <v>7587</v>
      </c>
      <c r="B3783" t="s">
        <v>7588</v>
      </c>
      <c r="C3783" t="s">
        <v>1812</v>
      </c>
      <c r="E3783" t="s">
        <v>501</v>
      </c>
      <c r="F3783">
        <v>4900</v>
      </c>
      <c r="G3783" t="s">
        <v>41</v>
      </c>
      <c r="H3783" t="s">
        <v>16</v>
      </c>
      <c r="I3783" t="s">
        <v>260</v>
      </c>
      <c r="J3783" t="s">
        <v>261</v>
      </c>
      <c r="K3783" t="s">
        <v>1809</v>
      </c>
      <c r="L3783" t="str">
        <f>HYPERLINK("https://business-monitor.ch/de/companies/679603-baruzzo-architekten-immobilien?utm_source=oberaargau","PROFIL ANSEHEN")</f>
        <v>PROFIL ANSEHEN</v>
      </c>
    </row>
    <row r="3784" spans="1:12" x14ac:dyDescent="0.2">
      <c r="A3784" t="s">
        <v>9961</v>
      </c>
      <c r="B3784" t="s">
        <v>9962</v>
      </c>
      <c r="C3784" t="s">
        <v>13</v>
      </c>
      <c r="E3784" t="s">
        <v>9610</v>
      </c>
      <c r="F3784">
        <v>3360</v>
      </c>
      <c r="G3784" t="s">
        <v>35</v>
      </c>
      <c r="H3784" t="s">
        <v>16</v>
      </c>
      <c r="I3784" t="s">
        <v>186</v>
      </c>
      <c r="J3784" t="s">
        <v>187</v>
      </c>
      <c r="K3784" t="s">
        <v>1809</v>
      </c>
      <c r="L3784" t="str">
        <f>HYPERLINK("https://business-monitor.ch/de/companies/938304-kgltg-holding-ag?utm_source=oberaargau","PROFIL ANSEHEN")</f>
        <v>PROFIL ANSEHEN</v>
      </c>
    </row>
    <row r="3785" spans="1:12" x14ac:dyDescent="0.2">
      <c r="A3785" t="s">
        <v>3248</v>
      </c>
      <c r="B3785" t="s">
        <v>3249</v>
      </c>
      <c r="C3785" t="s">
        <v>1812</v>
      </c>
      <c r="E3785" t="s">
        <v>3250</v>
      </c>
      <c r="F3785">
        <v>4912</v>
      </c>
      <c r="G3785" t="s">
        <v>64</v>
      </c>
      <c r="H3785" t="s">
        <v>16</v>
      </c>
      <c r="I3785" t="s">
        <v>1097</v>
      </c>
      <c r="J3785" t="s">
        <v>1098</v>
      </c>
      <c r="K3785" t="s">
        <v>1809</v>
      </c>
      <c r="L3785" t="str">
        <f>HYPERLINK("https://business-monitor.ch/de/companies/261635-hs-versand-schuerch?utm_source=oberaargau","PROFIL ANSEHEN")</f>
        <v>PROFIL ANSEHEN</v>
      </c>
    </row>
    <row r="3786" spans="1:12" x14ac:dyDescent="0.2">
      <c r="A3786" t="s">
        <v>10375</v>
      </c>
      <c r="B3786" t="s">
        <v>10376</v>
      </c>
      <c r="C3786" t="s">
        <v>13</v>
      </c>
      <c r="E3786" t="s">
        <v>148</v>
      </c>
      <c r="F3786">
        <v>3360</v>
      </c>
      <c r="G3786" t="s">
        <v>35</v>
      </c>
      <c r="H3786" t="s">
        <v>16</v>
      </c>
      <c r="I3786" t="s">
        <v>24</v>
      </c>
      <c r="J3786" t="s">
        <v>25</v>
      </c>
      <c r="K3786" t="s">
        <v>1809</v>
      </c>
      <c r="L3786" t="str">
        <f>HYPERLINK("https://business-monitor.ch/de/companies/367692-spaetig-informatik-ag?utm_source=oberaargau","PROFIL ANSEHEN")</f>
        <v>PROFIL ANSEHEN</v>
      </c>
    </row>
    <row r="3787" spans="1:12" x14ac:dyDescent="0.2">
      <c r="A3787" t="s">
        <v>14599</v>
      </c>
      <c r="B3787" t="s">
        <v>14600</v>
      </c>
      <c r="C3787" t="s">
        <v>202</v>
      </c>
      <c r="E3787" t="s">
        <v>14601</v>
      </c>
      <c r="F3787">
        <v>4923</v>
      </c>
      <c r="G3787" t="s">
        <v>732</v>
      </c>
      <c r="H3787" t="s">
        <v>16</v>
      </c>
      <c r="I3787" t="s">
        <v>935</v>
      </c>
      <c r="J3787" t="s">
        <v>936</v>
      </c>
      <c r="K3787" t="s">
        <v>1809</v>
      </c>
      <c r="L3787" t="str">
        <f>HYPERLINK("https://business-monitor.ch/de/companies/1299332-general-consulting-gmbh?utm_source=oberaargau","PROFIL ANSEHEN")</f>
        <v>PROFIL ANSEHEN</v>
      </c>
    </row>
    <row r="3788" spans="1:12" x14ac:dyDescent="0.2">
      <c r="A3788" t="s">
        <v>2589</v>
      </c>
      <c r="B3788" t="s">
        <v>2590</v>
      </c>
      <c r="C3788" t="s">
        <v>13</v>
      </c>
      <c r="D3788" t="s">
        <v>11323</v>
      </c>
      <c r="E3788" t="s">
        <v>1156</v>
      </c>
      <c r="F3788">
        <v>4900</v>
      </c>
      <c r="G3788" t="s">
        <v>41</v>
      </c>
      <c r="H3788" t="s">
        <v>16</v>
      </c>
      <c r="I3788" t="s">
        <v>366</v>
      </c>
      <c r="J3788" t="s">
        <v>367</v>
      </c>
      <c r="K3788" t="s">
        <v>1809</v>
      </c>
      <c r="L3788" t="str">
        <f>HYPERLINK("https://business-monitor.ch/de/companies/129320-casalife-sunnehof-ag?utm_source=oberaargau","PROFIL ANSEHEN")</f>
        <v>PROFIL ANSEHEN</v>
      </c>
    </row>
    <row r="3789" spans="1:12" x14ac:dyDescent="0.2">
      <c r="A3789" t="s">
        <v>7907</v>
      </c>
      <c r="B3789" t="s">
        <v>7908</v>
      </c>
      <c r="C3789" t="s">
        <v>1812</v>
      </c>
      <c r="E3789" t="s">
        <v>7909</v>
      </c>
      <c r="F3789">
        <v>4536</v>
      </c>
      <c r="G3789" t="s">
        <v>1395</v>
      </c>
      <c r="H3789" t="s">
        <v>16</v>
      </c>
      <c r="I3789" t="s">
        <v>603</v>
      </c>
      <c r="J3789" t="s">
        <v>604</v>
      </c>
      <c r="K3789" t="s">
        <v>1809</v>
      </c>
      <c r="L3789" t="str">
        <f>HYPERLINK("https://business-monitor.ch/de/companies/256974-marowil-fischereiartikel-robert-flury?utm_source=oberaargau","PROFIL ANSEHEN")</f>
        <v>PROFIL ANSEHEN</v>
      </c>
    </row>
    <row r="3790" spans="1:12" x14ac:dyDescent="0.2">
      <c r="A3790" t="s">
        <v>8760</v>
      </c>
      <c r="B3790" t="s">
        <v>8763</v>
      </c>
      <c r="C3790" t="s">
        <v>13</v>
      </c>
      <c r="E3790" t="s">
        <v>8764</v>
      </c>
      <c r="F3790">
        <v>4912</v>
      </c>
      <c r="G3790" t="s">
        <v>64</v>
      </c>
      <c r="H3790" t="s">
        <v>16</v>
      </c>
      <c r="I3790" t="s">
        <v>331</v>
      </c>
      <c r="J3790" t="s">
        <v>332</v>
      </c>
      <c r="K3790" t="s">
        <v>1809</v>
      </c>
      <c r="L3790" t="str">
        <f>HYPERLINK("https://business-monitor.ch/de/companies/367510-metacod-ag?utm_source=oberaargau","PROFIL ANSEHEN")</f>
        <v>PROFIL ANSEHEN</v>
      </c>
    </row>
    <row r="3791" spans="1:12" x14ac:dyDescent="0.2">
      <c r="A3791" t="s">
        <v>2981</v>
      </c>
      <c r="B3791" t="s">
        <v>2982</v>
      </c>
      <c r="C3791" t="s">
        <v>202</v>
      </c>
      <c r="E3791" t="s">
        <v>2983</v>
      </c>
      <c r="F3791">
        <v>4950</v>
      </c>
      <c r="G3791" t="s">
        <v>15</v>
      </c>
      <c r="H3791" t="s">
        <v>16</v>
      </c>
      <c r="I3791" t="s">
        <v>1470</v>
      </c>
      <c r="J3791" t="s">
        <v>1471</v>
      </c>
      <c r="K3791" t="s">
        <v>1809</v>
      </c>
      <c r="L3791" t="str">
        <f>HYPERLINK("https://business-monitor.ch/de/companies/357176-burkhardt-ht-gmbh?utm_source=oberaargau","PROFIL ANSEHEN")</f>
        <v>PROFIL ANSEHEN</v>
      </c>
    </row>
    <row r="3792" spans="1:12" x14ac:dyDescent="0.2">
      <c r="A3792" t="s">
        <v>13145</v>
      </c>
      <c r="B3792" t="s">
        <v>13146</v>
      </c>
      <c r="C3792" t="s">
        <v>1812</v>
      </c>
      <c r="E3792" t="s">
        <v>6465</v>
      </c>
      <c r="F3792">
        <v>4900</v>
      </c>
      <c r="G3792" t="s">
        <v>41</v>
      </c>
      <c r="H3792" t="s">
        <v>16</v>
      </c>
      <c r="I3792" t="s">
        <v>824</v>
      </c>
      <c r="J3792" t="s">
        <v>825</v>
      </c>
      <c r="K3792" t="s">
        <v>1809</v>
      </c>
      <c r="L3792" t="str">
        <f>HYPERLINK("https://business-monitor.ch/de/companies/1238821-adayka-inh-steiner?utm_source=oberaargau","PROFIL ANSEHEN")</f>
        <v>PROFIL ANSEHEN</v>
      </c>
    </row>
    <row r="3793" spans="1:12" x14ac:dyDescent="0.2">
      <c r="A3793" t="s">
        <v>4849</v>
      </c>
      <c r="B3793" t="s">
        <v>4850</v>
      </c>
      <c r="C3793" t="s">
        <v>202</v>
      </c>
      <c r="E3793" t="s">
        <v>3922</v>
      </c>
      <c r="F3793">
        <v>4537</v>
      </c>
      <c r="G3793" t="s">
        <v>113</v>
      </c>
      <c r="H3793" t="s">
        <v>16</v>
      </c>
      <c r="I3793" t="s">
        <v>781</v>
      </c>
      <c r="J3793" t="s">
        <v>782</v>
      </c>
      <c r="K3793" t="s">
        <v>1809</v>
      </c>
      <c r="L3793" t="str">
        <f>HYPERLINK("https://business-monitor.ch/de/companies/535807-mr-technik-gmbh?utm_source=oberaargau","PROFIL ANSEHEN")</f>
        <v>PROFIL ANSEHEN</v>
      </c>
    </row>
    <row r="3794" spans="1:12" x14ac:dyDescent="0.2">
      <c r="A3794" t="s">
        <v>6221</v>
      </c>
      <c r="B3794" t="s">
        <v>6222</v>
      </c>
      <c r="C3794" t="s">
        <v>202</v>
      </c>
      <c r="E3794" t="s">
        <v>6223</v>
      </c>
      <c r="F3794">
        <v>4950</v>
      </c>
      <c r="G3794" t="s">
        <v>15</v>
      </c>
      <c r="H3794" t="s">
        <v>16</v>
      </c>
      <c r="I3794" t="s">
        <v>331</v>
      </c>
      <c r="J3794" t="s">
        <v>332</v>
      </c>
      <c r="K3794" t="s">
        <v>1809</v>
      </c>
      <c r="L3794" t="str">
        <f>HYPERLINK("https://business-monitor.ch/de/companies/365832-aeschlimann-schleiftechnik-gmbh?utm_source=oberaargau","PROFIL ANSEHEN")</f>
        <v>PROFIL ANSEHEN</v>
      </c>
    </row>
    <row r="3795" spans="1:12" x14ac:dyDescent="0.2">
      <c r="A3795" t="s">
        <v>6137</v>
      </c>
      <c r="B3795" t="s">
        <v>6138</v>
      </c>
      <c r="C3795" t="s">
        <v>202</v>
      </c>
      <c r="E3795" t="s">
        <v>569</v>
      </c>
      <c r="F3795">
        <v>4950</v>
      </c>
      <c r="G3795" t="s">
        <v>15</v>
      </c>
      <c r="H3795" t="s">
        <v>16</v>
      </c>
      <c r="I3795" t="s">
        <v>298</v>
      </c>
      <c r="J3795" t="s">
        <v>299</v>
      </c>
      <c r="K3795" t="s">
        <v>1809</v>
      </c>
      <c r="L3795" t="str">
        <f>HYPERLINK("https://business-monitor.ch/de/companies/350377-hb-verladetechnik-service-gmbh?utm_source=oberaargau","PROFIL ANSEHEN")</f>
        <v>PROFIL ANSEHEN</v>
      </c>
    </row>
    <row r="3796" spans="1:12" x14ac:dyDescent="0.2">
      <c r="A3796" t="s">
        <v>7183</v>
      </c>
      <c r="B3796" t="s">
        <v>7184</v>
      </c>
      <c r="C3796" t="s">
        <v>13</v>
      </c>
      <c r="E3796" t="s">
        <v>7185</v>
      </c>
      <c r="F3796">
        <v>4914</v>
      </c>
      <c r="G3796" t="s">
        <v>105</v>
      </c>
      <c r="H3796" t="s">
        <v>16</v>
      </c>
      <c r="I3796" t="s">
        <v>1446</v>
      </c>
      <c r="J3796" t="s">
        <v>1447</v>
      </c>
      <c r="K3796" t="s">
        <v>1809</v>
      </c>
      <c r="L3796" t="str">
        <f>HYPERLINK("https://business-monitor.ch/de/companies/538049-hug-ag-roggwil?utm_source=oberaargau","PROFIL ANSEHEN")</f>
        <v>PROFIL ANSEHEN</v>
      </c>
    </row>
    <row r="3797" spans="1:12" x14ac:dyDescent="0.2">
      <c r="A3797" t="s">
        <v>11216</v>
      </c>
      <c r="B3797" t="s">
        <v>11217</v>
      </c>
      <c r="C3797" t="s">
        <v>202</v>
      </c>
      <c r="E3797" t="s">
        <v>11218</v>
      </c>
      <c r="F3797">
        <v>4923</v>
      </c>
      <c r="G3797" t="s">
        <v>732</v>
      </c>
      <c r="H3797" t="s">
        <v>16</v>
      </c>
      <c r="I3797" t="s">
        <v>48</v>
      </c>
      <c r="J3797" t="s">
        <v>49</v>
      </c>
      <c r="K3797" t="s">
        <v>1809</v>
      </c>
      <c r="L3797" t="str">
        <f>HYPERLINK("https://business-monitor.ch/de/companies/1131927-illumy-gmbh?utm_source=oberaargau","PROFIL ANSEHEN")</f>
        <v>PROFIL ANSEHEN</v>
      </c>
    </row>
    <row r="3798" spans="1:12" x14ac:dyDescent="0.2">
      <c r="A3798" t="s">
        <v>3082</v>
      </c>
      <c r="B3798" t="s">
        <v>3083</v>
      </c>
      <c r="C3798" t="s">
        <v>13</v>
      </c>
      <c r="E3798" t="s">
        <v>3084</v>
      </c>
      <c r="F3798">
        <v>4934</v>
      </c>
      <c r="G3798" t="s">
        <v>670</v>
      </c>
      <c r="H3798" t="s">
        <v>16</v>
      </c>
      <c r="I3798" t="s">
        <v>2365</v>
      </c>
      <c r="J3798" t="s">
        <v>2366</v>
      </c>
      <c r="K3798" t="s">
        <v>1809</v>
      </c>
      <c r="L3798" t="str">
        <f>HYPERLINK("https://business-monitor.ch/de/companies/331412-biopower-schuerch-ag?utm_source=oberaargau","PROFIL ANSEHEN")</f>
        <v>PROFIL ANSEHEN</v>
      </c>
    </row>
    <row r="3799" spans="1:12" x14ac:dyDescent="0.2">
      <c r="A3799" t="s">
        <v>13073</v>
      </c>
      <c r="B3799" t="s">
        <v>13074</v>
      </c>
      <c r="C3799" t="s">
        <v>202</v>
      </c>
      <c r="E3799" t="s">
        <v>13075</v>
      </c>
      <c r="F3799">
        <v>4934</v>
      </c>
      <c r="G3799" t="s">
        <v>670</v>
      </c>
      <c r="H3799" t="s">
        <v>16</v>
      </c>
      <c r="I3799" t="s">
        <v>3864</v>
      </c>
      <c r="J3799" t="s">
        <v>3865</v>
      </c>
      <c r="K3799" t="s">
        <v>1809</v>
      </c>
      <c r="L3799" t="str">
        <f>HYPERLINK("https://business-monitor.ch/de/companies/1240427-malarswiss-gmbh?utm_source=oberaargau","PROFIL ANSEHEN")</f>
        <v>PROFIL ANSEHEN</v>
      </c>
    </row>
    <row r="3800" spans="1:12" x14ac:dyDescent="0.2">
      <c r="A3800" t="s">
        <v>13284</v>
      </c>
      <c r="B3800" t="s">
        <v>13285</v>
      </c>
      <c r="C3800" t="s">
        <v>13</v>
      </c>
      <c r="E3800" t="s">
        <v>13273</v>
      </c>
      <c r="F3800">
        <v>4950</v>
      </c>
      <c r="G3800" t="s">
        <v>15</v>
      </c>
      <c r="H3800" t="s">
        <v>16</v>
      </c>
      <c r="I3800" t="s">
        <v>475</v>
      </c>
      <c r="J3800" t="s">
        <v>476</v>
      </c>
      <c r="K3800" t="s">
        <v>1809</v>
      </c>
      <c r="L3800" t="str">
        <f>HYPERLINK("https://business-monitor.ch/de/companies/1102868-sunman-tec-ag?utm_source=oberaargau","PROFIL ANSEHEN")</f>
        <v>PROFIL ANSEHEN</v>
      </c>
    </row>
    <row r="3801" spans="1:12" x14ac:dyDescent="0.2">
      <c r="A3801" t="s">
        <v>7309</v>
      </c>
      <c r="B3801" t="s">
        <v>7310</v>
      </c>
      <c r="C3801" t="s">
        <v>1812</v>
      </c>
      <c r="E3801" t="s">
        <v>7311</v>
      </c>
      <c r="F3801">
        <v>3360</v>
      </c>
      <c r="G3801" t="s">
        <v>35</v>
      </c>
      <c r="H3801" t="s">
        <v>16</v>
      </c>
      <c r="I3801" t="s">
        <v>2231</v>
      </c>
      <c r="J3801" t="s">
        <v>2232</v>
      </c>
      <c r="K3801" t="s">
        <v>1809</v>
      </c>
      <c r="L3801" t="str">
        <f>HYPERLINK("https://business-monitor.ch/de/companies/1005043-malergeschaeft-m-ulrich?utm_source=oberaargau","PROFIL ANSEHEN")</f>
        <v>PROFIL ANSEHEN</v>
      </c>
    </row>
    <row r="3802" spans="1:12" x14ac:dyDescent="0.2">
      <c r="A3802" t="s">
        <v>10827</v>
      </c>
      <c r="B3802" t="s">
        <v>10828</v>
      </c>
      <c r="C3802" t="s">
        <v>202</v>
      </c>
      <c r="E3802" t="s">
        <v>10829</v>
      </c>
      <c r="F3802">
        <v>4900</v>
      </c>
      <c r="G3802" t="s">
        <v>41</v>
      </c>
      <c r="H3802" t="s">
        <v>16</v>
      </c>
      <c r="I3802" t="s">
        <v>2900</v>
      </c>
      <c r="J3802" t="s">
        <v>2901</v>
      </c>
      <c r="K3802" t="s">
        <v>1809</v>
      </c>
      <c r="L3802" t="str">
        <f>HYPERLINK("https://business-monitor.ch/de/companies/1106908-drive-3-gmbh-fahrschulcenter-langenthal?utm_source=oberaargau","PROFIL ANSEHEN")</f>
        <v>PROFIL ANSEHEN</v>
      </c>
    </row>
    <row r="3803" spans="1:12" x14ac:dyDescent="0.2">
      <c r="A3803" t="s">
        <v>7059</v>
      </c>
      <c r="B3803" t="s">
        <v>7060</v>
      </c>
      <c r="C3803" t="s">
        <v>1812</v>
      </c>
      <c r="E3803" t="s">
        <v>7061</v>
      </c>
      <c r="F3803">
        <v>4932</v>
      </c>
      <c r="G3803" t="s">
        <v>325</v>
      </c>
      <c r="H3803" t="s">
        <v>16</v>
      </c>
      <c r="I3803" t="s">
        <v>2665</v>
      </c>
      <c r="J3803" t="s">
        <v>2666</v>
      </c>
      <c r="K3803" t="s">
        <v>1809</v>
      </c>
      <c r="L3803" t="str">
        <f>HYPERLINK("https://business-monitor.ch/de/companies/927091-quittenduft-josianne-hosner?utm_source=oberaargau","PROFIL ANSEHEN")</f>
        <v>PROFIL ANSEHEN</v>
      </c>
    </row>
    <row r="3804" spans="1:12" x14ac:dyDescent="0.2">
      <c r="A3804" t="s">
        <v>11918</v>
      </c>
      <c r="B3804" t="s">
        <v>11919</v>
      </c>
      <c r="C3804" t="s">
        <v>1812</v>
      </c>
      <c r="E3804" t="s">
        <v>11920</v>
      </c>
      <c r="F3804">
        <v>4934</v>
      </c>
      <c r="G3804" t="s">
        <v>670</v>
      </c>
      <c r="H3804" t="s">
        <v>16</v>
      </c>
      <c r="I3804" t="s">
        <v>1918</v>
      </c>
      <c r="J3804" t="s">
        <v>1919</v>
      </c>
      <c r="K3804" t="s">
        <v>1809</v>
      </c>
      <c r="L3804" t="str">
        <f>HYPERLINK("https://business-monitor.ch/de/companies/989970-martin-wyss-mawy-augenblicke?utm_source=oberaargau","PROFIL ANSEHEN")</f>
        <v>PROFIL ANSEHEN</v>
      </c>
    </row>
    <row r="3805" spans="1:12" x14ac:dyDescent="0.2">
      <c r="A3805" t="s">
        <v>14263</v>
      </c>
      <c r="B3805" t="s">
        <v>14264</v>
      </c>
      <c r="C3805" t="s">
        <v>13</v>
      </c>
      <c r="E3805" t="s">
        <v>6367</v>
      </c>
      <c r="F3805">
        <v>4900</v>
      </c>
      <c r="G3805" t="s">
        <v>41</v>
      </c>
      <c r="H3805" t="s">
        <v>16</v>
      </c>
      <c r="I3805" t="s">
        <v>1528</v>
      </c>
      <c r="J3805" t="s">
        <v>1529</v>
      </c>
      <c r="K3805" t="s">
        <v>1809</v>
      </c>
      <c r="L3805" t="str">
        <f>HYPERLINK("https://business-monitor.ch/de/companies/1292578-notariat-advokatur-langenthal-ag?utm_source=oberaargau","PROFIL ANSEHEN")</f>
        <v>PROFIL ANSEHEN</v>
      </c>
    </row>
    <row r="3806" spans="1:12" x14ac:dyDescent="0.2">
      <c r="A3806" t="s">
        <v>2657</v>
      </c>
      <c r="B3806" t="s">
        <v>2658</v>
      </c>
      <c r="C3806" t="s">
        <v>202</v>
      </c>
      <c r="E3806" t="s">
        <v>2659</v>
      </c>
      <c r="F3806">
        <v>4922</v>
      </c>
      <c r="G3806" t="s">
        <v>99</v>
      </c>
      <c r="H3806" t="s">
        <v>16</v>
      </c>
      <c r="I3806" t="s">
        <v>1535</v>
      </c>
      <c r="J3806" t="s">
        <v>1536</v>
      </c>
      <c r="K3806" t="s">
        <v>1809</v>
      </c>
      <c r="L3806" t="str">
        <f>HYPERLINK("https://business-monitor.ch/de/companies/486443-reinmann-gartengestaltung-gmbh?utm_source=oberaargau","PROFIL ANSEHEN")</f>
        <v>PROFIL ANSEHEN</v>
      </c>
    </row>
    <row r="3807" spans="1:12" x14ac:dyDescent="0.2">
      <c r="A3807" t="s">
        <v>5157</v>
      </c>
      <c r="B3807" t="s">
        <v>5158</v>
      </c>
      <c r="C3807" t="s">
        <v>13</v>
      </c>
      <c r="E3807" t="s">
        <v>454</v>
      </c>
      <c r="F3807">
        <v>3367</v>
      </c>
      <c r="G3807" t="s">
        <v>455</v>
      </c>
      <c r="H3807" t="s">
        <v>16</v>
      </c>
      <c r="I3807" t="s">
        <v>182</v>
      </c>
      <c r="J3807" t="s">
        <v>183</v>
      </c>
      <c r="K3807" t="s">
        <v>1809</v>
      </c>
      <c r="L3807" t="str">
        <f>HYPERLINK("https://business-monitor.ch/de/companies/266279-moser-ag-thoerigen?utm_source=oberaargau","PROFIL ANSEHEN")</f>
        <v>PROFIL ANSEHEN</v>
      </c>
    </row>
    <row r="3808" spans="1:12" x14ac:dyDescent="0.2">
      <c r="A3808" t="s">
        <v>6239</v>
      </c>
      <c r="B3808" t="s">
        <v>6240</v>
      </c>
      <c r="C3808" t="s">
        <v>202</v>
      </c>
      <c r="E3808" t="s">
        <v>6241</v>
      </c>
      <c r="F3808">
        <v>4934</v>
      </c>
      <c r="G3808" t="s">
        <v>670</v>
      </c>
      <c r="H3808" t="s">
        <v>16</v>
      </c>
      <c r="I3808" t="s">
        <v>2067</v>
      </c>
      <c r="J3808" t="s">
        <v>2068</v>
      </c>
      <c r="K3808" t="s">
        <v>1809</v>
      </c>
      <c r="L3808" t="str">
        <f>HYPERLINK("https://business-monitor.ch/de/companies/356272-koenig-bau-gmbh?utm_source=oberaargau","PROFIL ANSEHEN")</f>
        <v>PROFIL ANSEHEN</v>
      </c>
    </row>
    <row r="3809" spans="1:12" x14ac:dyDescent="0.2">
      <c r="A3809" t="s">
        <v>3010</v>
      </c>
      <c r="B3809" t="s">
        <v>3011</v>
      </c>
      <c r="C3809" t="s">
        <v>13</v>
      </c>
      <c r="D3809" t="s">
        <v>2583</v>
      </c>
      <c r="E3809" t="s">
        <v>1084</v>
      </c>
      <c r="F3809">
        <v>4900</v>
      </c>
      <c r="G3809" t="s">
        <v>41</v>
      </c>
      <c r="H3809" t="s">
        <v>16</v>
      </c>
      <c r="I3809" t="s">
        <v>157</v>
      </c>
      <c r="J3809" t="s">
        <v>158</v>
      </c>
      <c r="K3809" t="s">
        <v>1809</v>
      </c>
      <c r="L3809" t="str">
        <f>HYPERLINK("https://business-monitor.ch/de/companies/532480-immobieri-ag?utm_source=oberaargau","PROFIL ANSEHEN")</f>
        <v>PROFIL ANSEHEN</v>
      </c>
    </row>
    <row r="3810" spans="1:12" x14ac:dyDescent="0.2">
      <c r="A3810" t="s">
        <v>6006</v>
      </c>
      <c r="B3810" t="s">
        <v>6007</v>
      </c>
      <c r="C3810" t="s">
        <v>202</v>
      </c>
      <c r="E3810" t="s">
        <v>1341</v>
      </c>
      <c r="F3810">
        <v>4950</v>
      </c>
      <c r="G3810" t="s">
        <v>15</v>
      </c>
      <c r="H3810" t="s">
        <v>16</v>
      </c>
      <c r="I3810" t="s">
        <v>1661</v>
      </c>
      <c r="J3810" t="s">
        <v>1662</v>
      </c>
      <c r="K3810" t="s">
        <v>1809</v>
      </c>
      <c r="L3810" t="str">
        <f>HYPERLINK("https://business-monitor.ch/de/companies/278443-techtrends-gmbh?utm_source=oberaargau","PROFIL ANSEHEN")</f>
        <v>PROFIL ANSEHEN</v>
      </c>
    </row>
    <row r="3811" spans="1:12" x14ac:dyDescent="0.2">
      <c r="A3811" t="s">
        <v>10122</v>
      </c>
      <c r="B3811" t="s">
        <v>10123</v>
      </c>
      <c r="C3811" t="s">
        <v>202</v>
      </c>
      <c r="E3811" t="s">
        <v>4132</v>
      </c>
      <c r="F3811">
        <v>4917</v>
      </c>
      <c r="G3811" t="s">
        <v>376</v>
      </c>
      <c r="H3811" t="s">
        <v>16</v>
      </c>
      <c r="I3811" t="s">
        <v>2226</v>
      </c>
      <c r="J3811" t="s">
        <v>2227</v>
      </c>
      <c r="K3811" t="s">
        <v>1809</v>
      </c>
      <c r="L3811" t="str">
        <f>HYPERLINK("https://business-monitor.ch/de/companies/665569-physiotherapie-valerie-luternauer-gmbh?utm_source=oberaargau","PROFIL ANSEHEN")</f>
        <v>PROFIL ANSEHEN</v>
      </c>
    </row>
    <row r="3812" spans="1:12" x14ac:dyDescent="0.2">
      <c r="A3812" t="s">
        <v>8978</v>
      </c>
      <c r="B3812" t="s">
        <v>8979</v>
      </c>
      <c r="C3812" t="s">
        <v>202</v>
      </c>
      <c r="E3812" t="s">
        <v>1829</v>
      </c>
      <c r="F3812">
        <v>4914</v>
      </c>
      <c r="G3812" t="s">
        <v>105</v>
      </c>
      <c r="H3812" t="s">
        <v>16</v>
      </c>
      <c r="I3812" t="s">
        <v>2849</v>
      </c>
      <c r="J3812" t="s">
        <v>2850</v>
      </c>
      <c r="K3812" t="s">
        <v>1809</v>
      </c>
      <c r="L3812" t="str">
        <f>HYPERLINK("https://business-monitor.ch/de/companies/252480-schaefer-und-eberli-gmbh?utm_source=oberaargau","PROFIL ANSEHEN")</f>
        <v>PROFIL ANSEHEN</v>
      </c>
    </row>
    <row r="3813" spans="1:12" x14ac:dyDescent="0.2">
      <c r="A3813" t="s">
        <v>2584</v>
      </c>
      <c r="B3813" t="s">
        <v>2585</v>
      </c>
      <c r="C3813" t="s">
        <v>202</v>
      </c>
      <c r="E3813" t="s">
        <v>10491</v>
      </c>
      <c r="F3813">
        <v>4917</v>
      </c>
      <c r="G3813" t="s">
        <v>376</v>
      </c>
      <c r="H3813" t="s">
        <v>16</v>
      </c>
      <c r="I3813" t="s">
        <v>854</v>
      </c>
      <c r="J3813" t="s">
        <v>855</v>
      </c>
      <c r="K3813" t="s">
        <v>1809</v>
      </c>
      <c r="L3813" t="str">
        <f>HYPERLINK("https://business-monitor.ch/de/companies/539630-gino-marketing-gmbh?utm_source=oberaargau","PROFIL ANSEHEN")</f>
        <v>PROFIL ANSEHEN</v>
      </c>
    </row>
    <row r="3814" spans="1:12" x14ac:dyDescent="0.2">
      <c r="A3814" t="s">
        <v>10345</v>
      </c>
      <c r="B3814" t="s">
        <v>10346</v>
      </c>
      <c r="C3814" t="s">
        <v>2178</v>
      </c>
      <c r="E3814" t="s">
        <v>8625</v>
      </c>
      <c r="F3814">
        <v>4704</v>
      </c>
      <c r="G3814" t="s">
        <v>221</v>
      </c>
      <c r="H3814" t="s">
        <v>16</v>
      </c>
      <c r="I3814" t="s">
        <v>2231</v>
      </c>
      <c r="J3814" t="s">
        <v>2232</v>
      </c>
      <c r="K3814" t="s">
        <v>1809</v>
      </c>
      <c r="L3814" t="str">
        <f>HYPERLINK("https://business-monitor.ch/de/companies/541223-perren-malergeschaeft-gmbh?utm_source=oberaargau","PROFIL ANSEHEN")</f>
        <v>PROFIL ANSEHEN</v>
      </c>
    </row>
    <row r="3815" spans="1:12" x14ac:dyDescent="0.2">
      <c r="A3815" t="s">
        <v>6040</v>
      </c>
      <c r="B3815" t="s">
        <v>6041</v>
      </c>
      <c r="C3815" t="s">
        <v>202</v>
      </c>
      <c r="E3815" t="s">
        <v>11483</v>
      </c>
      <c r="F3815">
        <v>4950</v>
      </c>
      <c r="G3815" t="s">
        <v>15</v>
      </c>
      <c r="H3815" t="s">
        <v>16</v>
      </c>
      <c r="I3815" t="s">
        <v>298</v>
      </c>
      <c r="J3815" t="s">
        <v>299</v>
      </c>
      <c r="K3815" t="s">
        <v>1809</v>
      </c>
      <c r="L3815" t="str">
        <f>HYPERLINK("https://business-monitor.ch/de/companies/219785-scheidegger-polyart-gmbh?utm_source=oberaargau","PROFIL ANSEHEN")</f>
        <v>PROFIL ANSEHEN</v>
      </c>
    </row>
    <row r="3816" spans="1:12" x14ac:dyDescent="0.2">
      <c r="A3816" t="s">
        <v>7957</v>
      </c>
      <c r="B3816" t="s">
        <v>8055</v>
      </c>
      <c r="C3816" t="s">
        <v>1812</v>
      </c>
      <c r="E3816" t="s">
        <v>8056</v>
      </c>
      <c r="F3816">
        <v>4538</v>
      </c>
      <c r="G3816" t="s">
        <v>71</v>
      </c>
      <c r="H3816" t="s">
        <v>16</v>
      </c>
      <c r="I3816" t="s">
        <v>24</v>
      </c>
      <c r="J3816" t="s">
        <v>25</v>
      </c>
      <c r="K3816" t="s">
        <v>1809</v>
      </c>
      <c r="L3816" t="str">
        <f>HYPERLINK("https://business-monitor.ch/de/companies/356731-flisch-it?utm_source=oberaargau","PROFIL ANSEHEN")</f>
        <v>PROFIL ANSEHEN</v>
      </c>
    </row>
    <row r="3817" spans="1:12" x14ac:dyDescent="0.2">
      <c r="A3817" t="s">
        <v>8924</v>
      </c>
      <c r="B3817" t="s">
        <v>8925</v>
      </c>
      <c r="C3817" t="s">
        <v>2010</v>
      </c>
      <c r="E3817" t="s">
        <v>8926</v>
      </c>
      <c r="F3817">
        <v>4900</v>
      </c>
      <c r="G3817" t="s">
        <v>41</v>
      </c>
      <c r="H3817" t="s">
        <v>16</v>
      </c>
      <c r="I3817" t="s">
        <v>2308</v>
      </c>
      <c r="J3817" t="s">
        <v>2309</v>
      </c>
      <c r="K3817" t="s">
        <v>1809</v>
      </c>
      <c r="L3817" t="str">
        <f>HYPERLINK("https://business-monitor.ch/de/companies/276782-aqua-und-pooltechnik-geiser-cie?utm_source=oberaargau","PROFIL ANSEHEN")</f>
        <v>PROFIL ANSEHEN</v>
      </c>
    </row>
    <row r="3818" spans="1:12" x14ac:dyDescent="0.2">
      <c r="A3818" t="s">
        <v>9726</v>
      </c>
      <c r="B3818" t="s">
        <v>9727</v>
      </c>
      <c r="C3818" t="s">
        <v>1812</v>
      </c>
      <c r="E3818" t="s">
        <v>7349</v>
      </c>
      <c r="F3818">
        <v>4704</v>
      </c>
      <c r="G3818" t="s">
        <v>221</v>
      </c>
      <c r="H3818" t="s">
        <v>16</v>
      </c>
      <c r="I3818" t="s">
        <v>1453</v>
      </c>
      <c r="J3818" t="s">
        <v>1454</v>
      </c>
      <c r="K3818" t="s">
        <v>1809</v>
      </c>
      <c r="L3818" t="str">
        <f>HYPERLINK("https://business-monitor.ch/de/companies/1043054-lumen-impetu-inh-montoya-catano?utm_source=oberaargau","PROFIL ANSEHEN")</f>
        <v>PROFIL ANSEHEN</v>
      </c>
    </row>
    <row r="3819" spans="1:12" x14ac:dyDescent="0.2">
      <c r="A3819" t="s">
        <v>8686</v>
      </c>
      <c r="B3819" t="s">
        <v>8687</v>
      </c>
      <c r="C3819" t="s">
        <v>202</v>
      </c>
      <c r="D3819" t="s">
        <v>8688</v>
      </c>
      <c r="E3819" t="s">
        <v>8689</v>
      </c>
      <c r="F3819">
        <v>4950</v>
      </c>
      <c r="G3819" t="s">
        <v>15</v>
      </c>
      <c r="H3819" t="s">
        <v>16</v>
      </c>
      <c r="I3819" t="s">
        <v>1557</v>
      </c>
      <c r="J3819" t="s">
        <v>1558</v>
      </c>
      <c r="K3819" t="s">
        <v>1809</v>
      </c>
      <c r="L3819" t="str">
        <f>HYPERLINK("https://business-monitor.ch/de/companies/410717-kundengerecht-ch-gmbh?utm_source=oberaargau","PROFIL ANSEHEN")</f>
        <v>PROFIL ANSEHEN</v>
      </c>
    </row>
    <row r="3820" spans="1:12" x14ac:dyDescent="0.2">
      <c r="A3820" t="s">
        <v>11735</v>
      </c>
      <c r="B3820" t="s">
        <v>11736</v>
      </c>
      <c r="C3820" t="s">
        <v>13</v>
      </c>
      <c r="E3820" t="s">
        <v>1848</v>
      </c>
      <c r="F3820">
        <v>4704</v>
      </c>
      <c r="G3820" t="s">
        <v>221</v>
      </c>
      <c r="H3820" t="s">
        <v>16</v>
      </c>
      <c r="I3820" t="s">
        <v>11737</v>
      </c>
      <c r="J3820" t="s">
        <v>11738</v>
      </c>
      <c r="K3820" t="s">
        <v>1809</v>
      </c>
      <c r="L3820" t="str">
        <f>HYPERLINK("https://business-monitor.ch/de/companies/1161693-hoch2-medien-schweiz-ag?utm_source=oberaargau","PROFIL ANSEHEN")</f>
        <v>PROFIL ANSEHEN</v>
      </c>
    </row>
    <row r="3821" spans="1:12" x14ac:dyDescent="0.2">
      <c r="A3821" t="s">
        <v>12773</v>
      </c>
      <c r="B3821" t="s">
        <v>12774</v>
      </c>
      <c r="C3821" t="s">
        <v>202</v>
      </c>
      <c r="E3821" t="s">
        <v>959</v>
      </c>
      <c r="F3821">
        <v>3360</v>
      </c>
      <c r="G3821" t="s">
        <v>35</v>
      </c>
      <c r="H3821" t="s">
        <v>16</v>
      </c>
      <c r="I3821" t="s">
        <v>1860</v>
      </c>
      <c r="J3821" t="s">
        <v>1861</v>
      </c>
      <c r="K3821" t="s">
        <v>1809</v>
      </c>
      <c r="L3821" t="str">
        <f>HYPERLINK("https://business-monitor.ch/de/companies/1221239-marcia-s-style-gmbh?utm_source=oberaargau","PROFIL ANSEHEN")</f>
        <v>PROFIL ANSEHEN</v>
      </c>
    </row>
    <row r="3822" spans="1:12" x14ac:dyDescent="0.2">
      <c r="A3822" t="s">
        <v>7795</v>
      </c>
      <c r="B3822" t="s">
        <v>7796</v>
      </c>
      <c r="C3822" t="s">
        <v>202</v>
      </c>
      <c r="E3822" t="s">
        <v>7797</v>
      </c>
      <c r="F3822">
        <v>4900</v>
      </c>
      <c r="G3822" t="s">
        <v>41</v>
      </c>
      <c r="H3822" t="s">
        <v>16</v>
      </c>
      <c r="I3822" t="s">
        <v>260</v>
      </c>
      <c r="J3822" t="s">
        <v>261</v>
      </c>
      <c r="K3822" t="s">
        <v>1809</v>
      </c>
      <c r="L3822" t="str">
        <f>HYPERLINK("https://business-monitor.ch/de/companies/550766-bfr-lab-architekten-gmbh?utm_source=oberaargau","PROFIL ANSEHEN")</f>
        <v>PROFIL ANSEHEN</v>
      </c>
    </row>
    <row r="3823" spans="1:12" x14ac:dyDescent="0.2">
      <c r="A3823" t="s">
        <v>6651</v>
      </c>
      <c r="B3823" t="s">
        <v>6652</v>
      </c>
      <c r="C3823" t="s">
        <v>1812</v>
      </c>
      <c r="E3823" t="s">
        <v>6653</v>
      </c>
      <c r="F3823">
        <v>4935</v>
      </c>
      <c r="G3823" t="s">
        <v>443</v>
      </c>
      <c r="H3823" t="s">
        <v>16</v>
      </c>
      <c r="I3823" t="s">
        <v>281</v>
      </c>
      <c r="J3823" t="s">
        <v>282</v>
      </c>
      <c r="K3823" t="s">
        <v>1809</v>
      </c>
      <c r="L3823" t="str">
        <f>HYPERLINK("https://business-monitor.ch/de/companies/171687-hans-luethi?utm_source=oberaargau","PROFIL ANSEHEN")</f>
        <v>PROFIL ANSEHEN</v>
      </c>
    </row>
    <row r="3824" spans="1:12" x14ac:dyDescent="0.2">
      <c r="A3824" t="s">
        <v>4794</v>
      </c>
      <c r="B3824" t="s">
        <v>4795</v>
      </c>
      <c r="C3824" t="s">
        <v>13</v>
      </c>
      <c r="E3824" t="s">
        <v>4796</v>
      </c>
      <c r="F3824">
        <v>4704</v>
      </c>
      <c r="G3824" t="s">
        <v>221</v>
      </c>
      <c r="H3824" t="s">
        <v>16</v>
      </c>
      <c r="I3824" t="s">
        <v>624</v>
      </c>
      <c r="J3824" t="s">
        <v>625</v>
      </c>
      <c r="K3824" t="s">
        <v>1809</v>
      </c>
      <c r="L3824" t="str">
        <f>HYPERLINK("https://business-monitor.ch/de/companies/559932-koch-holzbau-ag?utm_source=oberaargau","PROFIL ANSEHEN")</f>
        <v>PROFIL ANSEHEN</v>
      </c>
    </row>
    <row r="3825" spans="1:12" x14ac:dyDescent="0.2">
      <c r="A3825" t="s">
        <v>14602</v>
      </c>
      <c r="B3825" t="s">
        <v>14603</v>
      </c>
      <c r="C3825" t="s">
        <v>1812</v>
      </c>
      <c r="E3825" t="s">
        <v>8360</v>
      </c>
      <c r="F3825">
        <v>4900</v>
      </c>
      <c r="G3825" t="s">
        <v>41</v>
      </c>
      <c r="H3825" t="s">
        <v>16</v>
      </c>
      <c r="I3825" t="s">
        <v>2226</v>
      </c>
      <c r="J3825" t="s">
        <v>2227</v>
      </c>
      <c r="K3825" t="s">
        <v>1809</v>
      </c>
      <c r="L3825" t="str">
        <f>HYPERLINK("https://business-monitor.ch/de/companies/1297900-kinderphysio-basler?utm_source=oberaargau","PROFIL ANSEHEN")</f>
        <v>PROFIL ANSEHEN</v>
      </c>
    </row>
    <row r="3826" spans="1:12" x14ac:dyDescent="0.2">
      <c r="A3826" t="s">
        <v>5530</v>
      </c>
      <c r="B3826" t="s">
        <v>5940</v>
      </c>
      <c r="C3826" t="s">
        <v>13</v>
      </c>
      <c r="E3826" t="s">
        <v>5907</v>
      </c>
      <c r="F3826">
        <v>4704</v>
      </c>
      <c r="G3826" t="s">
        <v>221</v>
      </c>
      <c r="H3826" t="s">
        <v>16</v>
      </c>
      <c r="I3826" t="s">
        <v>5658</v>
      </c>
      <c r="J3826" t="s">
        <v>5659</v>
      </c>
      <c r="K3826" t="s">
        <v>1809</v>
      </c>
      <c r="L3826" t="str">
        <f>HYPERLINK("https://business-monitor.ch/de/companies/95219-sunfly-ag?utm_source=oberaargau","PROFIL ANSEHEN")</f>
        <v>PROFIL ANSEHEN</v>
      </c>
    </row>
    <row r="3827" spans="1:12" x14ac:dyDescent="0.2">
      <c r="A3827" t="s">
        <v>2761</v>
      </c>
      <c r="B3827" t="s">
        <v>2762</v>
      </c>
      <c r="C3827" t="s">
        <v>13</v>
      </c>
      <c r="D3827" t="s">
        <v>2763</v>
      </c>
      <c r="E3827" t="s">
        <v>2764</v>
      </c>
      <c r="F3827">
        <v>4923</v>
      </c>
      <c r="G3827" t="s">
        <v>732</v>
      </c>
      <c r="H3827" t="s">
        <v>16</v>
      </c>
      <c r="I3827" t="s">
        <v>935</v>
      </c>
      <c r="J3827" t="s">
        <v>936</v>
      </c>
      <c r="K3827" t="s">
        <v>1809</v>
      </c>
      <c r="L3827" t="str">
        <f>HYPERLINK("https://business-monitor.ch/de/companies/444778-karibso-immo-ag?utm_source=oberaargau","PROFIL ANSEHEN")</f>
        <v>PROFIL ANSEHEN</v>
      </c>
    </row>
    <row r="3828" spans="1:12" x14ac:dyDescent="0.2">
      <c r="A3828" t="s">
        <v>2601</v>
      </c>
      <c r="B3828" t="s">
        <v>2602</v>
      </c>
      <c r="C3828" t="s">
        <v>202</v>
      </c>
      <c r="D3828" t="s">
        <v>2603</v>
      </c>
      <c r="E3828" t="s">
        <v>2604</v>
      </c>
      <c r="F3828">
        <v>4704</v>
      </c>
      <c r="G3828" t="s">
        <v>221</v>
      </c>
      <c r="H3828" t="s">
        <v>16</v>
      </c>
      <c r="I3828" t="s">
        <v>96</v>
      </c>
      <c r="J3828" t="s">
        <v>97</v>
      </c>
      <c r="K3828" t="s">
        <v>1809</v>
      </c>
      <c r="L3828" t="str">
        <f>HYPERLINK("https://business-monitor.ch/de/companies/501700-crosspiste-mrt-niederbipp-gmbh?utm_source=oberaargau","PROFIL ANSEHEN")</f>
        <v>PROFIL ANSEHEN</v>
      </c>
    </row>
    <row r="3829" spans="1:12" x14ac:dyDescent="0.2">
      <c r="A3829" t="s">
        <v>7117</v>
      </c>
      <c r="B3829" t="s">
        <v>7118</v>
      </c>
      <c r="C3829" t="s">
        <v>1812</v>
      </c>
      <c r="E3829" t="s">
        <v>7119</v>
      </c>
      <c r="F3829">
        <v>3475</v>
      </c>
      <c r="G3829" t="s">
        <v>2127</v>
      </c>
      <c r="H3829" t="s">
        <v>16</v>
      </c>
      <c r="I3829" t="s">
        <v>2293</v>
      </c>
      <c r="J3829" t="s">
        <v>2294</v>
      </c>
      <c r="K3829" t="s">
        <v>1809</v>
      </c>
      <c r="L3829" t="str">
        <f>HYPERLINK("https://business-monitor.ch/de/companies/970815-seehain-import-i-sjoelund?utm_source=oberaargau","PROFIL ANSEHEN")</f>
        <v>PROFIL ANSEHEN</v>
      </c>
    </row>
    <row r="3830" spans="1:12" x14ac:dyDescent="0.2">
      <c r="A3830" t="s">
        <v>6428</v>
      </c>
      <c r="B3830" t="s">
        <v>6429</v>
      </c>
      <c r="C3830" t="s">
        <v>1812</v>
      </c>
      <c r="F3830">
        <v>4955</v>
      </c>
      <c r="G3830" t="s">
        <v>684</v>
      </c>
      <c r="H3830" t="s">
        <v>16</v>
      </c>
      <c r="I3830" t="s">
        <v>574</v>
      </c>
      <c r="J3830" t="s">
        <v>575</v>
      </c>
      <c r="K3830" t="s">
        <v>1809</v>
      </c>
      <c r="L3830" t="str">
        <f>HYPERLINK("https://business-monitor.ch/de/companies/283569-maria-flueckiger-zingerle?utm_source=oberaargau","PROFIL ANSEHEN")</f>
        <v>PROFIL ANSEHEN</v>
      </c>
    </row>
    <row r="3831" spans="1:12" x14ac:dyDescent="0.2">
      <c r="A3831" t="s">
        <v>10707</v>
      </c>
      <c r="B3831" t="s">
        <v>10708</v>
      </c>
      <c r="C3831" t="s">
        <v>1812</v>
      </c>
      <c r="E3831" t="s">
        <v>10709</v>
      </c>
      <c r="F3831">
        <v>4704</v>
      </c>
      <c r="G3831" t="s">
        <v>221</v>
      </c>
      <c r="H3831" t="s">
        <v>16</v>
      </c>
      <c r="I3831" t="s">
        <v>642</v>
      </c>
      <c r="J3831" t="s">
        <v>643</v>
      </c>
      <c r="K3831" t="s">
        <v>1809</v>
      </c>
      <c r="L3831" t="str">
        <f>HYPERLINK("https://business-monitor.ch/de/companies/283632-garage-alois-stampfli?utm_source=oberaargau","PROFIL ANSEHEN")</f>
        <v>PROFIL ANSEHEN</v>
      </c>
    </row>
    <row r="3832" spans="1:12" x14ac:dyDescent="0.2">
      <c r="A3832" t="s">
        <v>7777</v>
      </c>
      <c r="B3832" t="s">
        <v>7778</v>
      </c>
      <c r="C3832" t="s">
        <v>1812</v>
      </c>
      <c r="E3832" t="s">
        <v>7779</v>
      </c>
      <c r="F3832">
        <v>4900</v>
      </c>
      <c r="G3832" t="s">
        <v>41</v>
      </c>
      <c r="H3832" t="s">
        <v>16</v>
      </c>
      <c r="I3832" t="s">
        <v>1835</v>
      </c>
      <c r="J3832" t="s">
        <v>1836</v>
      </c>
      <c r="K3832" t="s">
        <v>1809</v>
      </c>
      <c r="L3832" t="str">
        <f>HYPERLINK("https://business-monitor.ch/de/companies/562085-kuehni-reinigungen?utm_source=oberaargau","PROFIL ANSEHEN")</f>
        <v>PROFIL ANSEHEN</v>
      </c>
    </row>
    <row r="3833" spans="1:12" x14ac:dyDescent="0.2">
      <c r="A3833" t="s">
        <v>13798</v>
      </c>
      <c r="B3833" t="s">
        <v>13799</v>
      </c>
      <c r="C3833" t="s">
        <v>1812</v>
      </c>
      <c r="E3833" t="s">
        <v>13800</v>
      </c>
      <c r="F3833">
        <v>4922</v>
      </c>
      <c r="G3833" t="s">
        <v>99</v>
      </c>
      <c r="H3833" t="s">
        <v>16</v>
      </c>
      <c r="I3833" t="s">
        <v>340</v>
      </c>
      <c r="J3833" t="s">
        <v>341</v>
      </c>
      <c r="K3833" t="s">
        <v>1809</v>
      </c>
      <c r="L3833" t="str">
        <f>HYPERLINK("https://business-monitor.ch/de/companies/1267509-treiber-strategie-finanzen?utm_source=oberaargau","PROFIL ANSEHEN")</f>
        <v>PROFIL ANSEHEN</v>
      </c>
    </row>
    <row r="3834" spans="1:12" x14ac:dyDescent="0.2">
      <c r="A3834" t="s">
        <v>2975</v>
      </c>
      <c r="B3834" t="s">
        <v>2976</v>
      </c>
      <c r="C3834" t="s">
        <v>202</v>
      </c>
      <c r="D3834" t="s">
        <v>2977</v>
      </c>
      <c r="E3834" t="s">
        <v>2978</v>
      </c>
      <c r="F3834">
        <v>4900</v>
      </c>
      <c r="G3834" t="s">
        <v>41</v>
      </c>
      <c r="H3834" t="s">
        <v>16</v>
      </c>
      <c r="I3834" t="s">
        <v>260</v>
      </c>
      <c r="J3834" t="s">
        <v>261</v>
      </c>
      <c r="K3834" t="s">
        <v>1809</v>
      </c>
      <c r="L3834" t="str">
        <f>HYPERLINK("https://business-monitor.ch/de/companies/361621-baudesign-partner-gmbh?utm_source=oberaargau","PROFIL ANSEHEN")</f>
        <v>PROFIL ANSEHEN</v>
      </c>
    </row>
    <row r="3835" spans="1:12" x14ac:dyDescent="0.2">
      <c r="A3835" t="s">
        <v>11641</v>
      </c>
      <c r="B3835" t="s">
        <v>11642</v>
      </c>
      <c r="C3835" t="s">
        <v>1812</v>
      </c>
      <c r="E3835" t="s">
        <v>7422</v>
      </c>
      <c r="F3835">
        <v>4900</v>
      </c>
      <c r="G3835" t="s">
        <v>41</v>
      </c>
      <c r="H3835" t="s">
        <v>16</v>
      </c>
      <c r="I3835" t="s">
        <v>2213</v>
      </c>
      <c r="J3835" t="s">
        <v>2214</v>
      </c>
      <c r="K3835" t="s">
        <v>1809</v>
      </c>
      <c r="L3835" t="str">
        <f>HYPERLINK("https://business-monitor.ch/de/companies/1158066-biomechanisch-korrekt-reiten-florence-polyak?utm_source=oberaargau","PROFIL ANSEHEN")</f>
        <v>PROFIL ANSEHEN</v>
      </c>
    </row>
    <row r="3836" spans="1:12" x14ac:dyDescent="0.2">
      <c r="A3836" t="s">
        <v>5397</v>
      </c>
      <c r="B3836" t="s">
        <v>5398</v>
      </c>
      <c r="C3836" t="s">
        <v>1812</v>
      </c>
      <c r="E3836" t="s">
        <v>5399</v>
      </c>
      <c r="F3836">
        <v>4900</v>
      </c>
      <c r="G3836" t="s">
        <v>41</v>
      </c>
      <c r="H3836" t="s">
        <v>16</v>
      </c>
      <c r="I3836" t="s">
        <v>772</v>
      </c>
      <c r="J3836" t="s">
        <v>773</v>
      </c>
      <c r="K3836" t="s">
        <v>1809</v>
      </c>
      <c r="L3836" t="str">
        <f>HYPERLINK("https://business-monitor.ch/de/companies/286643-la-stella-damenmode-inhaberin-therese-lanz?utm_source=oberaargau","PROFIL ANSEHEN")</f>
        <v>PROFIL ANSEHEN</v>
      </c>
    </row>
    <row r="3837" spans="1:12" x14ac:dyDescent="0.2">
      <c r="A3837" t="s">
        <v>10298</v>
      </c>
      <c r="B3837" t="s">
        <v>10299</v>
      </c>
      <c r="C3837" t="s">
        <v>1812</v>
      </c>
      <c r="E3837" t="s">
        <v>10300</v>
      </c>
      <c r="F3837">
        <v>4537</v>
      </c>
      <c r="G3837" t="s">
        <v>113</v>
      </c>
      <c r="H3837" t="s">
        <v>16</v>
      </c>
      <c r="I3837" t="s">
        <v>1535</v>
      </c>
      <c r="J3837" t="s">
        <v>1536</v>
      </c>
      <c r="K3837" t="s">
        <v>1809</v>
      </c>
      <c r="L3837" t="str">
        <f>HYPERLINK("https://business-monitor.ch/de/companies/568281-freudiger-gartenpflege?utm_source=oberaargau","PROFIL ANSEHEN")</f>
        <v>PROFIL ANSEHEN</v>
      </c>
    </row>
    <row r="3838" spans="1:12" x14ac:dyDescent="0.2">
      <c r="A3838" t="s">
        <v>5310</v>
      </c>
      <c r="B3838" t="s">
        <v>5311</v>
      </c>
      <c r="C3838" t="s">
        <v>1812</v>
      </c>
      <c r="E3838" t="s">
        <v>5312</v>
      </c>
      <c r="F3838">
        <v>4900</v>
      </c>
      <c r="G3838" t="s">
        <v>41</v>
      </c>
      <c r="H3838" t="s">
        <v>16</v>
      </c>
      <c r="I3838" t="s">
        <v>2213</v>
      </c>
      <c r="J3838" t="s">
        <v>2214</v>
      </c>
      <c r="K3838" t="s">
        <v>1809</v>
      </c>
      <c r="L3838" t="str">
        <f>HYPERLINK("https://business-monitor.ch/de/companies/428932-delphin-schule-fuer-bewegung-karin-flury?utm_source=oberaargau","PROFIL ANSEHEN")</f>
        <v>PROFIL ANSEHEN</v>
      </c>
    </row>
    <row r="3839" spans="1:12" x14ac:dyDescent="0.2">
      <c r="A3839" t="s">
        <v>4812</v>
      </c>
      <c r="B3839" t="s">
        <v>4813</v>
      </c>
      <c r="C3839" t="s">
        <v>13</v>
      </c>
      <c r="E3839" t="s">
        <v>473</v>
      </c>
      <c r="F3839">
        <v>4900</v>
      </c>
      <c r="G3839" t="s">
        <v>41</v>
      </c>
      <c r="H3839" t="s">
        <v>16</v>
      </c>
      <c r="I3839" t="s">
        <v>4221</v>
      </c>
      <c r="J3839" t="s">
        <v>4222</v>
      </c>
      <c r="K3839" t="s">
        <v>1809</v>
      </c>
      <c r="L3839" t="str">
        <f>HYPERLINK("https://business-monitor.ch/de/companies/551159-one-x-services-ag?utm_source=oberaargau","PROFIL ANSEHEN")</f>
        <v>PROFIL ANSEHEN</v>
      </c>
    </row>
    <row r="3840" spans="1:12" x14ac:dyDescent="0.2">
      <c r="A3840" t="s">
        <v>13134</v>
      </c>
      <c r="B3840" t="s">
        <v>13135</v>
      </c>
      <c r="C3840" t="s">
        <v>1812</v>
      </c>
      <c r="E3840" t="s">
        <v>90</v>
      </c>
      <c r="F3840">
        <v>4900</v>
      </c>
      <c r="G3840" t="s">
        <v>41</v>
      </c>
      <c r="H3840" t="s">
        <v>16</v>
      </c>
      <c r="I3840" t="s">
        <v>13136</v>
      </c>
      <c r="J3840" t="s">
        <v>13137</v>
      </c>
      <c r="K3840" t="s">
        <v>1809</v>
      </c>
      <c r="L3840" t="str">
        <f>HYPERLINK("https://business-monitor.ch/de/companies/1229641-sintagro-m-eggen?utm_source=oberaargau","PROFIL ANSEHEN")</f>
        <v>PROFIL ANSEHEN</v>
      </c>
    </row>
    <row r="3841" spans="1:12" x14ac:dyDescent="0.2">
      <c r="A3841" t="s">
        <v>13271</v>
      </c>
      <c r="B3841" t="s">
        <v>13272</v>
      </c>
      <c r="C3841" t="s">
        <v>2178</v>
      </c>
      <c r="E3841" t="s">
        <v>11983</v>
      </c>
      <c r="F3841">
        <v>4704</v>
      </c>
      <c r="G3841" t="s">
        <v>221</v>
      </c>
      <c r="H3841" t="s">
        <v>16</v>
      </c>
      <c r="I3841" t="s">
        <v>475</v>
      </c>
      <c r="J3841" t="s">
        <v>476</v>
      </c>
      <c r="K3841" t="s">
        <v>1809</v>
      </c>
      <c r="L3841" t="str">
        <f>HYPERLINK("https://business-monitor.ch/de/companies/1229736-tophinke-elektro-kontroll-ag?utm_source=oberaargau","PROFIL ANSEHEN")</f>
        <v>PROFIL ANSEHEN</v>
      </c>
    </row>
    <row r="3842" spans="1:12" x14ac:dyDescent="0.2">
      <c r="A3842" t="s">
        <v>13952</v>
      </c>
      <c r="B3842" t="s">
        <v>13953</v>
      </c>
      <c r="C3842" t="s">
        <v>13</v>
      </c>
      <c r="E3842" t="s">
        <v>12754</v>
      </c>
      <c r="F3842">
        <v>4900</v>
      </c>
      <c r="G3842" t="s">
        <v>41</v>
      </c>
      <c r="H3842" t="s">
        <v>16</v>
      </c>
      <c r="I3842" t="s">
        <v>551</v>
      </c>
      <c r="J3842" t="s">
        <v>552</v>
      </c>
      <c r="K3842" t="s">
        <v>1809</v>
      </c>
      <c r="L3842" t="str">
        <f>HYPERLINK("https://business-monitor.ch/de/companies/1281932-vamac-ag?utm_source=oberaargau","PROFIL ANSEHEN")</f>
        <v>PROFIL ANSEHEN</v>
      </c>
    </row>
    <row r="3843" spans="1:12" x14ac:dyDescent="0.2">
      <c r="A3843" t="s">
        <v>12805</v>
      </c>
      <c r="B3843" t="s">
        <v>12806</v>
      </c>
      <c r="C3843" t="s">
        <v>202</v>
      </c>
      <c r="E3843" t="s">
        <v>559</v>
      </c>
      <c r="F3843">
        <v>4900</v>
      </c>
      <c r="G3843" t="s">
        <v>41</v>
      </c>
      <c r="H3843" t="s">
        <v>16</v>
      </c>
      <c r="I3843" t="s">
        <v>260</v>
      </c>
      <c r="J3843" t="s">
        <v>261</v>
      </c>
      <c r="K3843" t="s">
        <v>1809</v>
      </c>
      <c r="L3843" t="str">
        <f>HYPERLINK("https://business-monitor.ch/de/companies/1218447-oldag-baumanagement-gmbh?utm_source=oberaargau","PROFIL ANSEHEN")</f>
        <v>PROFIL ANSEHEN</v>
      </c>
    </row>
    <row r="3844" spans="1:12" x14ac:dyDescent="0.2">
      <c r="A3844" t="s">
        <v>6447</v>
      </c>
      <c r="B3844" t="s">
        <v>6448</v>
      </c>
      <c r="C3844" t="s">
        <v>13</v>
      </c>
      <c r="E3844" t="s">
        <v>3158</v>
      </c>
      <c r="F3844">
        <v>4704</v>
      </c>
      <c r="G3844" t="s">
        <v>221</v>
      </c>
      <c r="H3844" t="s">
        <v>16</v>
      </c>
      <c r="I3844" t="s">
        <v>186</v>
      </c>
      <c r="J3844" t="s">
        <v>187</v>
      </c>
      <c r="K3844" t="s">
        <v>1809</v>
      </c>
      <c r="L3844" t="str">
        <f>HYPERLINK("https://business-monitor.ch/de/companies/273978-ela-holding-ag?utm_source=oberaargau","PROFIL ANSEHEN")</f>
        <v>PROFIL ANSEHEN</v>
      </c>
    </row>
    <row r="3845" spans="1:12" x14ac:dyDescent="0.2">
      <c r="A3845" t="s">
        <v>13211</v>
      </c>
      <c r="B3845" t="s">
        <v>13212</v>
      </c>
      <c r="C3845" t="s">
        <v>1827</v>
      </c>
      <c r="E3845" t="s">
        <v>13205</v>
      </c>
      <c r="F3845">
        <v>4932</v>
      </c>
      <c r="G3845" t="s">
        <v>2036</v>
      </c>
      <c r="H3845" t="s">
        <v>16</v>
      </c>
      <c r="I3845" t="s">
        <v>3864</v>
      </c>
      <c r="J3845" t="s">
        <v>3865</v>
      </c>
      <c r="K3845" t="s">
        <v>1809</v>
      </c>
      <c r="L3845" t="str">
        <f>HYPERLINK("https://business-monitor.ch/de/companies/1237582-marc-hurni-klg?utm_source=oberaargau","PROFIL ANSEHEN")</f>
        <v>PROFIL ANSEHEN</v>
      </c>
    </row>
    <row r="3846" spans="1:12" x14ac:dyDescent="0.2">
      <c r="A3846" t="s">
        <v>12427</v>
      </c>
      <c r="B3846" t="s">
        <v>12428</v>
      </c>
      <c r="C3846" t="s">
        <v>1812</v>
      </c>
      <c r="E3846" t="s">
        <v>8124</v>
      </c>
      <c r="F3846">
        <v>4950</v>
      </c>
      <c r="G3846" t="s">
        <v>15</v>
      </c>
      <c r="H3846" t="s">
        <v>16</v>
      </c>
      <c r="I3846" t="s">
        <v>2900</v>
      </c>
      <c r="J3846" t="s">
        <v>2901</v>
      </c>
      <c r="K3846" t="s">
        <v>1809</v>
      </c>
      <c r="L3846" t="str">
        <f>HYPERLINK("https://business-monitor.ch/de/companies/1200637-fahrschule-lustenberger-lukas?utm_source=oberaargau","PROFIL ANSEHEN")</f>
        <v>PROFIL ANSEHEN</v>
      </c>
    </row>
    <row r="3847" spans="1:12" x14ac:dyDescent="0.2">
      <c r="A3847" t="s">
        <v>13182</v>
      </c>
      <c r="B3847" t="s">
        <v>13183</v>
      </c>
      <c r="C3847" t="s">
        <v>202</v>
      </c>
      <c r="E3847" t="s">
        <v>9821</v>
      </c>
      <c r="F3847">
        <v>4950</v>
      </c>
      <c r="G3847" t="s">
        <v>15</v>
      </c>
      <c r="H3847" t="s">
        <v>16</v>
      </c>
      <c r="I3847" t="s">
        <v>824</v>
      </c>
      <c r="J3847" t="s">
        <v>825</v>
      </c>
      <c r="K3847" t="s">
        <v>1809</v>
      </c>
      <c r="L3847" t="str">
        <f>HYPERLINK("https://business-monitor.ch/de/companies/1230600-nefas-gmbh?utm_source=oberaargau","PROFIL ANSEHEN")</f>
        <v>PROFIL ANSEHEN</v>
      </c>
    </row>
    <row r="3848" spans="1:12" x14ac:dyDescent="0.2">
      <c r="A3848" t="s">
        <v>8277</v>
      </c>
      <c r="B3848" t="s">
        <v>8278</v>
      </c>
      <c r="C3848" t="s">
        <v>1812</v>
      </c>
      <c r="E3848" t="s">
        <v>10777</v>
      </c>
      <c r="F3848">
        <v>3368</v>
      </c>
      <c r="G3848" t="s">
        <v>308</v>
      </c>
      <c r="H3848" t="s">
        <v>16</v>
      </c>
      <c r="I3848" t="s">
        <v>3806</v>
      </c>
      <c r="J3848" t="s">
        <v>3807</v>
      </c>
      <c r="K3848" t="s">
        <v>1809</v>
      </c>
      <c r="L3848" t="str">
        <f>HYPERLINK("https://business-monitor.ch/de/companies/1073107-stegemann-flyrods?utm_source=oberaargau","PROFIL ANSEHEN")</f>
        <v>PROFIL ANSEHEN</v>
      </c>
    </row>
    <row r="3849" spans="1:12" x14ac:dyDescent="0.2">
      <c r="A3849" t="s">
        <v>3578</v>
      </c>
      <c r="B3849" t="s">
        <v>3579</v>
      </c>
      <c r="C3849" t="s">
        <v>1812</v>
      </c>
      <c r="E3849" t="s">
        <v>3580</v>
      </c>
      <c r="F3849">
        <v>4917</v>
      </c>
      <c r="G3849" t="s">
        <v>376</v>
      </c>
      <c r="H3849" t="s">
        <v>16</v>
      </c>
      <c r="I3849" t="s">
        <v>2067</v>
      </c>
      <c r="J3849" t="s">
        <v>2068</v>
      </c>
      <c r="K3849" t="s">
        <v>1809</v>
      </c>
      <c r="L3849" t="str">
        <f>HYPERLINK("https://business-monitor.ch/de/companies/109758-roethlisberger-bauarbeiten?utm_source=oberaargau","PROFIL ANSEHEN")</f>
        <v>PROFIL ANSEHEN</v>
      </c>
    </row>
    <row r="3850" spans="1:12" x14ac:dyDescent="0.2">
      <c r="A3850" t="s">
        <v>5804</v>
      </c>
      <c r="B3850" t="s">
        <v>5805</v>
      </c>
      <c r="C3850" t="s">
        <v>202</v>
      </c>
      <c r="E3850" t="s">
        <v>5806</v>
      </c>
      <c r="F3850">
        <v>4938</v>
      </c>
      <c r="G3850" t="s">
        <v>618</v>
      </c>
      <c r="H3850" t="s">
        <v>16</v>
      </c>
      <c r="I3850" t="s">
        <v>1998</v>
      </c>
      <c r="J3850" t="s">
        <v>1999</v>
      </c>
      <c r="K3850" t="s">
        <v>1809</v>
      </c>
      <c r="L3850" t="str">
        <f>HYPERLINK("https://business-monitor.ch/de/companies/1080237-scherenschnitte-esther-gerber-gmbh?utm_source=oberaargau","PROFIL ANSEHEN")</f>
        <v>PROFIL ANSEHEN</v>
      </c>
    </row>
    <row r="3851" spans="1:12" x14ac:dyDescent="0.2">
      <c r="A3851" t="s">
        <v>7976</v>
      </c>
      <c r="B3851" t="s">
        <v>7977</v>
      </c>
      <c r="C3851" t="s">
        <v>1812</v>
      </c>
      <c r="E3851" t="s">
        <v>3480</v>
      </c>
      <c r="F3851">
        <v>4900</v>
      </c>
      <c r="G3851" t="s">
        <v>41</v>
      </c>
      <c r="H3851" t="s">
        <v>16</v>
      </c>
      <c r="I3851" t="s">
        <v>3514</v>
      </c>
      <c r="J3851" t="s">
        <v>3515</v>
      </c>
      <c r="K3851" t="s">
        <v>1809</v>
      </c>
      <c r="L3851" t="str">
        <f>HYPERLINK("https://business-monitor.ch/de/companies/1086281-sport-und-massagestudio-durch-atmen-ch-veronique-von-arx?utm_source=oberaargau","PROFIL ANSEHEN")</f>
        <v>PROFIL ANSEHEN</v>
      </c>
    </row>
    <row r="3852" spans="1:12" x14ac:dyDescent="0.2">
      <c r="A3852" t="s">
        <v>13314</v>
      </c>
      <c r="B3852" t="s">
        <v>13315</v>
      </c>
      <c r="C3852" t="s">
        <v>202</v>
      </c>
      <c r="E3852" t="s">
        <v>2151</v>
      </c>
      <c r="F3852">
        <v>3360</v>
      </c>
      <c r="G3852" t="s">
        <v>35</v>
      </c>
      <c r="H3852" t="s">
        <v>16</v>
      </c>
      <c r="I3852" t="s">
        <v>1470</v>
      </c>
      <c r="J3852" t="s">
        <v>1471</v>
      </c>
      <c r="K3852" t="s">
        <v>1809</v>
      </c>
      <c r="L3852" t="str">
        <f>HYPERLINK("https://business-monitor.ch/de/companies/1248845-m-a-heizungen-gmbh?utm_source=oberaargau","PROFIL ANSEHEN")</f>
        <v>PROFIL ANSEHEN</v>
      </c>
    </row>
    <row r="3853" spans="1:12" x14ac:dyDescent="0.2">
      <c r="A3853" t="s">
        <v>4375</v>
      </c>
      <c r="B3853" t="s">
        <v>4376</v>
      </c>
      <c r="C3853" t="s">
        <v>13</v>
      </c>
      <c r="E3853" t="s">
        <v>4377</v>
      </c>
      <c r="F3853">
        <v>4538</v>
      </c>
      <c r="G3853" t="s">
        <v>71</v>
      </c>
      <c r="H3853" t="s">
        <v>16</v>
      </c>
      <c r="I3853" t="s">
        <v>260</v>
      </c>
      <c r="J3853" t="s">
        <v>261</v>
      </c>
      <c r="K3853" t="s">
        <v>1809</v>
      </c>
      <c r="L3853" t="str">
        <f>HYPERLINK("https://business-monitor.ch/de/companies/953084-bau-weise-ch-ag?utm_source=oberaargau","PROFIL ANSEHEN")</f>
        <v>PROFIL ANSEHEN</v>
      </c>
    </row>
    <row r="3854" spans="1:12" x14ac:dyDescent="0.2">
      <c r="A3854" t="s">
        <v>7824</v>
      </c>
      <c r="B3854" t="s">
        <v>7825</v>
      </c>
      <c r="C3854" t="s">
        <v>1812</v>
      </c>
      <c r="E3854" t="s">
        <v>7826</v>
      </c>
      <c r="F3854">
        <v>4900</v>
      </c>
      <c r="G3854" t="s">
        <v>41</v>
      </c>
      <c r="H3854" t="s">
        <v>16</v>
      </c>
      <c r="I3854" t="s">
        <v>824</v>
      </c>
      <c r="J3854" t="s">
        <v>825</v>
      </c>
      <c r="K3854" t="s">
        <v>1809</v>
      </c>
      <c r="L3854" t="str">
        <f>HYPERLINK("https://business-monitor.ch/de/companies/535948-burun-ishak?utm_source=oberaargau","PROFIL ANSEHEN")</f>
        <v>PROFIL ANSEHEN</v>
      </c>
    </row>
    <row r="3855" spans="1:12" x14ac:dyDescent="0.2">
      <c r="A3855" t="s">
        <v>14604</v>
      </c>
      <c r="B3855" t="s">
        <v>14605</v>
      </c>
      <c r="C3855" t="s">
        <v>202</v>
      </c>
      <c r="E3855" t="s">
        <v>14606</v>
      </c>
      <c r="F3855">
        <v>4900</v>
      </c>
      <c r="G3855" t="s">
        <v>41</v>
      </c>
      <c r="H3855" t="s">
        <v>16</v>
      </c>
      <c r="I3855" t="s">
        <v>679</v>
      </c>
      <c r="J3855" t="s">
        <v>680</v>
      </c>
      <c r="K3855" t="s">
        <v>1809</v>
      </c>
      <c r="L3855" t="str">
        <f>HYPERLINK("https://business-monitor.ch/de/companies/1252452-swiss-novatech-gmbh?utm_source=oberaargau","PROFIL ANSEHEN")</f>
        <v>PROFIL ANSEHEN</v>
      </c>
    </row>
    <row r="3856" spans="1:12" x14ac:dyDescent="0.2">
      <c r="A3856" t="s">
        <v>8740</v>
      </c>
      <c r="B3856" t="s">
        <v>8741</v>
      </c>
      <c r="C3856" t="s">
        <v>13</v>
      </c>
      <c r="D3856" t="s">
        <v>8739</v>
      </c>
      <c r="E3856" t="s">
        <v>7153</v>
      </c>
      <c r="F3856">
        <v>4704</v>
      </c>
      <c r="G3856" t="s">
        <v>221</v>
      </c>
      <c r="H3856" t="s">
        <v>16</v>
      </c>
      <c r="I3856" t="s">
        <v>182</v>
      </c>
      <c r="J3856" t="s">
        <v>183</v>
      </c>
      <c r="K3856" t="s">
        <v>1809</v>
      </c>
      <c r="L3856" t="str">
        <f>HYPERLINK("https://business-monitor.ch/de/companies/379379-haudenschild-ch-holding-ag?utm_source=oberaargau","PROFIL ANSEHEN")</f>
        <v>PROFIL ANSEHEN</v>
      </c>
    </row>
    <row r="3857" spans="1:12" x14ac:dyDescent="0.2">
      <c r="A3857" t="s">
        <v>10648</v>
      </c>
      <c r="B3857" t="s">
        <v>10649</v>
      </c>
      <c r="C3857" t="s">
        <v>1812</v>
      </c>
      <c r="E3857" t="s">
        <v>10650</v>
      </c>
      <c r="F3857">
        <v>4704</v>
      </c>
      <c r="G3857" t="s">
        <v>221</v>
      </c>
      <c r="H3857" t="s">
        <v>16</v>
      </c>
      <c r="I3857" t="s">
        <v>824</v>
      </c>
      <c r="J3857" t="s">
        <v>825</v>
      </c>
      <c r="K3857" t="s">
        <v>1809</v>
      </c>
      <c r="L3857" t="str">
        <f>HYPERLINK("https://business-monitor.ch/de/companies/1078531-blues-beiz-manuela-bruegger?utm_source=oberaargau","PROFIL ANSEHEN")</f>
        <v>PROFIL ANSEHEN</v>
      </c>
    </row>
    <row r="3858" spans="1:12" x14ac:dyDescent="0.2">
      <c r="A3858" t="s">
        <v>12398</v>
      </c>
      <c r="B3858" t="s">
        <v>12399</v>
      </c>
      <c r="C3858" t="s">
        <v>13</v>
      </c>
      <c r="E3858" t="s">
        <v>3058</v>
      </c>
      <c r="F3858">
        <v>4900</v>
      </c>
      <c r="G3858" t="s">
        <v>41</v>
      </c>
      <c r="H3858" t="s">
        <v>16</v>
      </c>
      <c r="I3858" t="s">
        <v>935</v>
      </c>
      <c r="J3858" t="s">
        <v>936</v>
      </c>
      <c r="K3858" t="s">
        <v>1809</v>
      </c>
      <c r="L3858" t="str">
        <f>HYPERLINK("https://business-monitor.ch/de/companies/1192848-zolg-immobilien-ag?utm_source=oberaargau","PROFIL ANSEHEN")</f>
        <v>PROFIL ANSEHEN</v>
      </c>
    </row>
    <row r="3859" spans="1:12" x14ac:dyDescent="0.2">
      <c r="A3859" t="s">
        <v>14148</v>
      </c>
      <c r="B3859" t="s">
        <v>14149</v>
      </c>
      <c r="C3859" t="s">
        <v>1812</v>
      </c>
      <c r="E3859" t="s">
        <v>14150</v>
      </c>
      <c r="F3859">
        <v>4900</v>
      </c>
      <c r="G3859" t="s">
        <v>41</v>
      </c>
      <c r="H3859" t="s">
        <v>16</v>
      </c>
      <c r="I3859" t="s">
        <v>1855</v>
      </c>
      <c r="J3859" t="s">
        <v>1856</v>
      </c>
      <c r="K3859" t="s">
        <v>1809</v>
      </c>
      <c r="L3859" t="str">
        <f>HYPERLINK("https://business-monitor.ch/de/companies/1285942-lueur-beaute-zhivkovich?utm_source=oberaargau","PROFIL ANSEHEN")</f>
        <v>PROFIL ANSEHEN</v>
      </c>
    </row>
    <row r="3860" spans="1:12" x14ac:dyDescent="0.2">
      <c r="A3860" t="s">
        <v>5144</v>
      </c>
      <c r="B3860" t="s">
        <v>5145</v>
      </c>
      <c r="C3860" t="s">
        <v>1812</v>
      </c>
      <c r="E3860" t="s">
        <v>1170</v>
      </c>
      <c r="F3860">
        <v>4900</v>
      </c>
      <c r="G3860" t="s">
        <v>41</v>
      </c>
      <c r="H3860" t="s">
        <v>16</v>
      </c>
      <c r="I3860" t="s">
        <v>3493</v>
      </c>
      <c r="J3860" t="s">
        <v>3494</v>
      </c>
      <c r="K3860" t="s">
        <v>1809</v>
      </c>
      <c r="L3860" t="str">
        <f>HYPERLINK("https://business-monitor.ch/de/companies/550633-grylka-finanz-service?utm_source=oberaargau","PROFIL ANSEHEN")</f>
        <v>PROFIL ANSEHEN</v>
      </c>
    </row>
    <row r="3861" spans="1:12" x14ac:dyDescent="0.2">
      <c r="A3861" t="s">
        <v>3356</v>
      </c>
      <c r="B3861" t="s">
        <v>3371</v>
      </c>
      <c r="C3861" t="s">
        <v>13</v>
      </c>
      <c r="E3861" t="s">
        <v>3372</v>
      </c>
      <c r="F3861">
        <v>4950</v>
      </c>
      <c r="G3861" t="s">
        <v>15</v>
      </c>
      <c r="H3861" t="s">
        <v>16</v>
      </c>
      <c r="I3861" t="s">
        <v>1193</v>
      </c>
      <c r="J3861" t="s">
        <v>1194</v>
      </c>
      <c r="K3861" t="s">
        <v>1809</v>
      </c>
      <c r="L3861" t="str">
        <f>HYPERLINK("https://business-monitor.ch/de/companies/207215-compu-life-ag?utm_source=oberaargau","PROFIL ANSEHEN")</f>
        <v>PROFIL ANSEHEN</v>
      </c>
    </row>
    <row r="3862" spans="1:12" x14ac:dyDescent="0.2">
      <c r="A3862" t="s">
        <v>3460</v>
      </c>
      <c r="B3862" t="s">
        <v>3461</v>
      </c>
      <c r="C3862" t="s">
        <v>13</v>
      </c>
      <c r="E3862" t="s">
        <v>3462</v>
      </c>
      <c r="F3862">
        <v>4900</v>
      </c>
      <c r="G3862" t="s">
        <v>41</v>
      </c>
      <c r="H3862" t="s">
        <v>16</v>
      </c>
      <c r="I3862" t="s">
        <v>1918</v>
      </c>
      <c r="J3862" t="s">
        <v>1919</v>
      </c>
      <c r="K3862" t="s">
        <v>1809</v>
      </c>
      <c r="L3862" t="str">
        <f>HYPERLINK("https://business-monitor.ch/de/companies/171064-kohler-optik-ag?utm_source=oberaargau","PROFIL ANSEHEN")</f>
        <v>PROFIL ANSEHEN</v>
      </c>
    </row>
    <row r="3863" spans="1:12" x14ac:dyDescent="0.2">
      <c r="A3863" t="s">
        <v>9184</v>
      </c>
      <c r="B3863" t="s">
        <v>9185</v>
      </c>
      <c r="C3863" t="s">
        <v>13</v>
      </c>
      <c r="E3863" t="s">
        <v>9186</v>
      </c>
      <c r="F3863">
        <v>4950</v>
      </c>
      <c r="G3863" t="s">
        <v>15</v>
      </c>
      <c r="H3863" t="s">
        <v>16</v>
      </c>
      <c r="I3863" t="s">
        <v>3369</v>
      </c>
      <c r="J3863" t="s">
        <v>3370</v>
      </c>
      <c r="K3863" t="s">
        <v>1809</v>
      </c>
      <c r="L3863" t="str">
        <f>HYPERLINK("https://business-monitor.ch/de/companies/155789-hostettler-dental-ag?utm_source=oberaargau","PROFIL ANSEHEN")</f>
        <v>PROFIL ANSEHEN</v>
      </c>
    </row>
    <row r="3864" spans="1:12" x14ac:dyDescent="0.2">
      <c r="A3864" t="s">
        <v>12301</v>
      </c>
      <c r="B3864" t="s">
        <v>12302</v>
      </c>
      <c r="C3864" t="s">
        <v>13</v>
      </c>
      <c r="E3864" t="s">
        <v>1146</v>
      </c>
      <c r="F3864">
        <v>3360</v>
      </c>
      <c r="G3864" t="s">
        <v>35</v>
      </c>
      <c r="H3864" t="s">
        <v>16</v>
      </c>
      <c r="I3864" t="s">
        <v>186</v>
      </c>
      <c r="J3864" t="s">
        <v>187</v>
      </c>
      <c r="K3864" t="s">
        <v>1809</v>
      </c>
      <c r="L3864" t="str">
        <f>HYPERLINK("https://business-monitor.ch/de/companies/1201233-benens-ag?utm_source=oberaargau","PROFIL ANSEHEN")</f>
        <v>PROFIL ANSEHEN</v>
      </c>
    </row>
    <row r="3865" spans="1:12" x14ac:dyDescent="0.2">
      <c r="A3865" t="s">
        <v>5038</v>
      </c>
      <c r="B3865" t="s">
        <v>5039</v>
      </c>
      <c r="C3865" t="s">
        <v>1812</v>
      </c>
      <c r="E3865" t="s">
        <v>5040</v>
      </c>
      <c r="F3865">
        <v>4943</v>
      </c>
      <c r="G3865" t="s">
        <v>1022</v>
      </c>
      <c r="H3865" t="s">
        <v>16</v>
      </c>
      <c r="I3865" t="s">
        <v>679</v>
      </c>
      <c r="J3865" t="s">
        <v>680</v>
      </c>
      <c r="K3865" t="s">
        <v>1809</v>
      </c>
      <c r="L3865" t="str">
        <f>HYPERLINK("https://business-monitor.ch/de/companies/208425-schreinerei-steiner?utm_source=oberaargau","PROFIL ANSEHEN")</f>
        <v>PROFIL ANSEHEN</v>
      </c>
    </row>
    <row r="3866" spans="1:12" x14ac:dyDescent="0.2">
      <c r="A3866" t="s">
        <v>10912</v>
      </c>
      <c r="B3866" t="s">
        <v>10913</v>
      </c>
      <c r="C3866" t="s">
        <v>202</v>
      </c>
      <c r="E3866" t="s">
        <v>2839</v>
      </c>
      <c r="F3866">
        <v>4914</v>
      </c>
      <c r="G3866" t="s">
        <v>105</v>
      </c>
      <c r="H3866" t="s">
        <v>16</v>
      </c>
      <c r="I3866" t="s">
        <v>1852</v>
      </c>
      <c r="J3866" t="s">
        <v>1853</v>
      </c>
      <c r="K3866" t="s">
        <v>1809</v>
      </c>
      <c r="L3866" t="str">
        <f>HYPERLINK("https://business-monitor.ch/de/companies/1109169-fs-allround-gmbh?utm_source=oberaargau","PROFIL ANSEHEN")</f>
        <v>PROFIL ANSEHEN</v>
      </c>
    </row>
    <row r="3867" spans="1:12" x14ac:dyDescent="0.2">
      <c r="A3867" t="s">
        <v>7200</v>
      </c>
      <c r="B3867" t="s">
        <v>7201</v>
      </c>
      <c r="C3867" t="s">
        <v>13</v>
      </c>
      <c r="E3867" t="s">
        <v>6139</v>
      </c>
      <c r="F3867">
        <v>4704</v>
      </c>
      <c r="G3867" t="s">
        <v>221</v>
      </c>
      <c r="H3867" t="s">
        <v>16</v>
      </c>
      <c r="I3867" t="s">
        <v>906</v>
      </c>
      <c r="J3867" t="s">
        <v>907</v>
      </c>
      <c r="K3867" t="s">
        <v>1809</v>
      </c>
      <c r="L3867" t="str">
        <f>HYPERLINK("https://business-monitor.ch/de/companies/1041119-bestsolution-swiss-ag?utm_source=oberaargau","PROFIL ANSEHEN")</f>
        <v>PROFIL ANSEHEN</v>
      </c>
    </row>
    <row r="3868" spans="1:12" x14ac:dyDescent="0.2">
      <c r="A3868" t="s">
        <v>5391</v>
      </c>
      <c r="B3868" t="s">
        <v>5392</v>
      </c>
      <c r="C3868" t="s">
        <v>1812</v>
      </c>
      <c r="E3868" t="s">
        <v>5393</v>
      </c>
      <c r="F3868">
        <v>4537</v>
      </c>
      <c r="G3868" t="s">
        <v>113</v>
      </c>
      <c r="H3868" t="s">
        <v>16</v>
      </c>
      <c r="I3868" t="s">
        <v>2534</v>
      </c>
      <c r="J3868" t="s">
        <v>2535</v>
      </c>
      <c r="K3868" t="s">
        <v>1809</v>
      </c>
      <c r="L3868" t="str">
        <f>HYPERLINK("https://business-monitor.ch/de/companies/309960-kulturbus-dietrich?utm_source=oberaargau","PROFIL ANSEHEN")</f>
        <v>PROFIL ANSEHEN</v>
      </c>
    </row>
    <row r="3869" spans="1:12" x14ac:dyDescent="0.2">
      <c r="A3869" t="s">
        <v>10431</v>
      </c>
      <c r="B3869" t="s">
        <v>10432</v>
      </c>
      <c r="C3869" t="s">
        <v>13</v>
      </c>
      <c r="E3869" t="s">
        <v>2669</v>
      </c>
      <c r="F3869">
        <v>4950</v>
      </c>
      <c r="G3869" t="s">
        <v>15</v>
      </c>
      <c r="H3869" t="s">
        <v>16</v>
      </c>
      <c r="I3869" t="s">
        <v>86</v>
      </c>
      <c r="J3869" t="s">
        <v>87</v>
      </c>
      <c r="K3869" t="s">
        <v>1809</v>
      </c>
      <c r="L3869" t="str">
        <f>HYPERLINK("https://business-monitor.ch/de/companies/1079463-schulthess-tieraerzte-ag?utm_source=oberaargau","PROFIL ANSEHEN")</f>
        <v>PROFIL ANSEHEN</v>
      </c>
    </row>
    <row r="3870" spans="1:12" x14ac:dyDescent="0.2">
      <c r="A3870" t="s">
        <v>7026</v>
      </c>
      <c r="B3870" t="s">
        <v>7027</v>
      </c>
      <c r="C3870" t="s">
        <v>202</v>
      </c>
      <c r="E3870" t="s">
        <v>7028</v>
      </c>
      <c r="F3870">
        <v>4900</v>
      </c>
      <c r="G3870" t="s">
        <v>41</v>
      </c>
      <c r="H3870" t="s">
        <v>16</v>
      </c>
      <c r="I3870" t="s">
        <v>1918</v>
      </c>
      <c r="J3870" t="s">
        <v>1919</v>
      </c>
      <c r="K3870" t="s">
        <v>1809</v>
      </c>
      <c r="L3870" t="str">
        <f>HYPERLINK("https://business-monitor.ch/de/companies/702923-hoerberatung-langenthal-gmbh?utm_source=oberaargau","PROFIL ANSEHEN")</f>
        <v>PROFIL ANSEHEN</v>
      </c>
    </row>
    <row r="3871" spans="1:12" x14ac:dyDescent="0.2">
      <c r="A3871" t="s">
        <v>10276</v>
      </c>
      <c r="B3871" t="s">
        <v>10277</v>
      </c>
      <c r="C3871" t="s">
        <v>2010</v>
      </c>
      <c r="E3871" t="s">
        <v>10278</v>
      </c>
      <c r="F3871">
        <v>4900</v>
      </c>
      <c r="G3871" t="s">
        <v>41</v>
      </c>
      <c r="H3871" t="s">
        <v>16</v>
      </c>
      <c r="I3871" t="s">
        <v>551</v>
      </c>
      <c r="J3871" t="s">
        <v>552</v>
      </c>
      <c r="K3871" t="s">
        <v>1809</v>
      </c>
      <c r="L3871" t="str">
        <f>HYPERLINK("https://business-monitor.ch/de/companies/584240-regula-utiger-giger-co?utm_source=oberaargau","PROFIL ANSEHEN")</f>
        <v>PROFIL ANSEHEN</v>
      </c>
    </row>
    <row r="3872" spans="1:12" x14ac:dyDescent="0.2">
      <c r="A3872" t="s">
        <v>10274</v>
      </c>
      <c r="B3872" t="s">
        <v>10275</v>
      </c>
      <c r="C3872" t="s">
        <v>13</v>
      </c>
      <c r="E3872" t="s">
        <v>7262</v>
      </c>
      <c r="F3872">
        <v>4914</v>
      </c>
      <c r="G3872" t="s">
        <v>105</v>
      </c>
      <c r="H3872" t="s">
        <v>16</v>
      </c>
      <c r="I3872" t="s">
        <v>249</v>
      </c>
      <c r="J3872" t="s">
        <v>250</v>
      </c>
      <c r="K3872" t="s">
        <v>1809</v>
      </c>
      <c r="L3872" t="str">
        <f>HYPERLINK("https://business-monitor.ch/de/companies/584327-helvetics-sport-ag?utm_source=oberaargau","PROFIL ANSEHEN")</f>
        <v>PROFIL ANSEHEN</v>
      </c>
    </row>
    <row r="3873" spans="1:12" x14ac:dyDescent="0.2">
      <c r="A3873" t="s">
        <v>10493</v>
      </c>
      <c r="B3873" t="s">
        <v>10494</v>
      </c>
      <c r="C3873" t="s">
        <v>1827</v>
      </c>
      <c r="E3873" t="s">
        <v>13004</v>
      </c>
      <c r="F3873">
        <v>4914</v>
      </c>
      <c r="G3873" t="s">
        <v>105</v>
      </c>
      <c r="H3873" t="s">
        <v>16</v>
      </c>
      <c r="I3873" t="s">
        <v>1535</v>
      </c>
      <c r="J3873" t="s">
        <v>1536</v>
      </c>
      <c r="K3873" t="s">
        <v>1809</v>
      </c>
      <c r="L3873" t="str">
        <f>HYPERLINK("https://business-monitor.ch/de/companies/339746-astwerk-baumpflege-erni-gysin?utm_source=oberaargau","PROFIL ANSEHEN")</f>
        <v>PROFIL ANSEHEN</v>
      </c>
    </row>
    <row r="3874" spans="1:12" x14ac:dyDescent="0.2">
      <c r="A3874" t="s">
        <v>12484</v>
      </c>
      <c r="B3874" t="s">
        <v>12485</v>
      </c>
      <c r="C3874" t="s">
        <v>1827</v>
      </c>
      <c r="E3874" t="s">
        <v>12486</v>
      </c>
      <c r="F3874">
        <v>4937</v>
      </c>
      <c r="G3874" t="s">
        <v>951</v>
      </c>
      <c r="H3874" t="s">
        <v>16</v>
      </c>
      <c r="I3874" t="s">
        <v>824</v>
      </c>
      <c r="J3874" t="s">
        <v>825</v>
      </c>
      <c r="K3874" t="s">
        <v>1809</v>
      </c>
      <c r="L3874" t="str">
        <f>HYPERLINK("https://business-monitor.ch/de/companies/1213654-wild-man-bbq-mathys-klg?utm_source=oberaargau","PROFIL ANSEHEN")</f>
        <v>PROFIL ANSEHEN</v>
      </c>
    </row>
    <row r="3875" spans="1:12" x14ac:dyDescent="0.2">
      <c r="A3875" t="s">
        <v>12572</v>
      </c>
      <c r="B3875" t="s">
        <v>12573</v>
      </c>
      <c r="C3875" t="s">
        <v>13</v>
      </c>
      <c r="D3875" t="s">
        <v>12574</v>
      </c>
      <c r="E3875" t="s">
        <v>6960</v>
      </c>
      <c r="F3875">
        <v>4950</v>
      </c>
      <c r="G3875" t="s">
        <v>15</v>
      </c>
      <c r="H3875" t="s">
        <v>16</v>
      </c>
      <c r="I3875" t="s">
        <v>935</v>
      </c>
      <c r="J3875" t="s">
        <v>936</v>
      </c>
      <c r="K3875" t="s">
        <v>1809</v>
      </c>
      <c r="L3875" t="str">
        <f>HYPERLINK("https://business-monitor.ch/de/companies/1211246-lohucasa-ag?utm_source=oberaargau","PROFIL ANSEHEN")</f>
        <v>PROFIL ANSEHEN</v>
      </c>
    </row>
    <row r="3876" spans="1:12" x14ac:dyDescent="0.2">
      <c r="A3876" t="s">
        <v>6880</v>
      </c>
      <c r="B3876" t="s">
        <v>6881</v>
      </c>
      <c r="C3876" t="s">
        <v>1812</v>
      </c>
      <c r="E3876" t="s">
        <v>6882</v>
      </c>
      <c r="F3876">
        <v>4938</v>
      </c>
      <c r="G3876" t="s">
        <v>618</v>
      </c>
      <c r="H3876" t="s">
        <v>16</v>
      </c>
      <c r="I3876" t="s">
        <v>4213</v>
      </c>
      <c r="J3876" t="s">
        <v>4214</v>
      </c>
      <c r="K3876" t="s">
        <v>1809</v>
      </c>
      <c r="L3876" t="str">
        <f>HYPERLINK("https://business-monitor.ch/de/companies/31403-wiedmer-buero-und-schreibservice?utm_source=oberaargau","PROFIL ANSEHEN")</f>
        <v>PROFIL ANSEHEN</v>
      </c>
    </row>
    <row r="3877" spans="1:12" x14ac:dyDescent="0.2">
      <c r="A3877" t="s">
        <v>12050</v>
      </c>
      <c r="B3877" t="s">
        <v>12051</v>
      </c>
      <c r="C3877" t="s">
        <v>13</v>
      </c>
      <c r="E3877" t="s">
        <v>1200</v>
      </c>
      <c r="F3877">
        <v>4900</v>
      </c>
      <c r="G3877" t="s">
        <v>41</v>
      </c>
      <c r="H3877" t="s">
        <v>16</v>
      </c>
      <c r="I3877" t="s">
        <v>340</v>
      </c>
      <c r="J3877" t="s">
        <v>341</v>
      </c>
      <c r="K3877" t="s">
        <v>1809</v>
      </c>
      <c r="L3877" t="str">
        <f>HYPERLINK("https://business-monitor.ch/de/companies/1178534-delicious-network-ag?utm_source=oberaargau","PROFIL ANSEHEN")</f>
        <v>PROFIL ANSEHEN</v>
      </c>
    </row>
    <row r="3878" spans="1:12" x14ac:dyDescent="0.2">
      <c r="A3878" t="s">
        <v>11012</v>
      </c>
      <c r="B3878" t="s">
        <v>11013</v>
      </c>
      <c r="C3878" t="s">
        <v>13</v>
      </c>
      <c r="D3878" t="s">
        <v>11014</v>
      </c>
      <c r="E3878" t="s">
        <v>11259</v>
      </c>
      <c r="F3878">
        <v>3373</v>
      </c>
      <c r="G3878" t="s">
        <v>2429</v>
      </c>
      <c r="H3878" t="s">
        <v>16</v>
      </c>
      <c r="I3878" t="s">
        <v>935</v>
      </c>
      <c r="J3878" t="s">
        <v>936</v>
      </c>
      <c r="K3878" t="s">
        <v>1809</v>
      </c>
      <c r="L3878" t="str">
        <f>HYPERLINK("https://business-monitor.ch/de/companies/1112130-jkd-immobilien-ag?utm_source=oberaargau","PROFIL ANSEHEN")</f>
        <v>PROFIL ANSEHEN</v>
      </c>
    </row>
    <row r="3879" spans="1:12" x14ac:dyDescent="0.2">
      <c r="A3879" t="s">
        <v>8252</v>
      </c>
      <c r="B3879" t="s">
        <v>8253</v>
      </c>
      <c r="C3879" t="s">
        <v>202</v>
      </c>
      <c r="E3879" t="s">
        <v>4159</v>
      </c>
      <c r="F3879">
        <v>3360</v>
      </c>
      <c r="G3879" t="s">
        <v>35</v>
      </c>
      <c r="H3879" t="s">
        <v>16</v>
      </c>
      <c r="I3879" t="s">
        <v>733</v>
      </c>
      <c r="J3879" t="s">
        <v>734</v>
      </c>
      <c r="K3879" t="s">
        <v>1809</v>
      </c>
      <c r="L3879" t="str">
        <f>HYPERLINK("https://business-monitor.ch/de/companies/1084036-mz-autocenter-gmbh?utm_source=oberaargau","PROFIL ANSEHEN")</f>
        <v>PROFIL ANSEHEN</v>
      </c>
    </row>
    <row r="3880" spans="1:12" x14ac:dyDescent="0.2">
      <c r="A3880" t="s">
        <v>13525</v>
      </c>
      <c r="B3880" t="s">
        <v>13526</v>
      </c>
      <c r="C3880" t="s">
        <v>202</v>
      </c>
      <c r="D3880" t="s">
        <v>11648</v>
      </c>
      <c r="E3880" t="s">
        <v>9493</v>
      </c>
      <c r="F3880">
        <v>4912</v>
      </c>
      <c r="G3880" t="s">
        <v>64</v>
      </c>
      <c r="H3880" t="s">
        <v>16</v>
      </c>
      <c r="I3880" t="s">
        <v>134</v>
      </c>
      <c r="J3880" t="s">
        <v>135</v>
      </c>
      <c r="K3880" t="s">
        <v>1809</v>
      </c>
      <c r="L3880" t="str">
        <f>HYPERLINK("https://business-monitor.ch/de/companies/1259381-d-g-swiss-gmbh?utm_source=oberaargau","PROFIL ANSEHEN")</f>
        <v>PROFIL ANSEHEN</v>
      </c>
    </row>
    <row r="3881" spans="1:12" x14ac:dyDescent="0.2">
      <c r="A3881" t="s">
        <v>4333</v>
      </c>
      <c r="B3881" t="s">
        <v>14607</v>
      </c>
      <c r="C3881" t="s">
        <v>202</v>
      </c>
      <c r="E3881" t="s">
        <v>3485</v>
      </c>
      <c r="F3881">
        <v>4900</v>
      </c>
      <c r="G3881" t="s">
        <v>41</v>
      </c>
      <c r="H3881" t="s">
        <v>16</v>
      </c>
      <c r="I3881" t="s">
        <v>1865</v>
      </c>
      <c r="J3881" t="s">
        <v>1866</v>
      </c>
      <c r="K3881" t="s">
        <v>1809</v>
      </c>
      <c r="L3881" t="str">
        <f>HYPERLINK("https://business-monitor.ch/de/companies/965931-reifen-schweiz-m-k-gmbh?utm_source=oberaargau","PROFIL ANSEHEN")</f>
        <v>PROFIL ANSEHEN</v>
      </c>
    </row>
    <row r="3882" spans="1:12" x14ac:dyDescent="0.2">
      <c r="A3882" t="s">
        <v>4063</v>
      </c>
      <c r="B3882" t="s">
        <v>4064</v>
      </c>
      <c r="C3882" t="s">
        <v>202</v>
      </c>
      <c r="E3882" t="s">
        <v>4065</v>
      </c>
      <c r="F3882">
        <v>4537</v>
      </c>
      <c r="G3882" t="s">
        <v>113</v>
      </c>
      <c r="H3882" t="s">
        <v>16</v>
      </c>
      <c r="I3882" t="s">
        <v>3982</v>
      </c>
      <c r="J3882" t="s">
        <v>3983</v>
      </c>
      <c r="K3882" t="s">
        <v>1809</v>
      </c>
      <c r="L3882" t="str">
        <f>HYPERLINK("https://business-monitor.ch/de/companies/650272-b-b-ledesign-gmbh?utm_source=oberaargau","PROFIL ANSEHEN")</f>
        <v>PROFIL ANSEHEN</v>
      </c>
    </row>
    <row r="3883" spans="1:12" x14ac:dyDescent="0.2">
      <c r="A3883" t="s">
        <v>8023</v>
      </c>
      <c r="B3883" t="s">
        <v>8024</v>
      </c>
      <c r="C3883" t="s">
        <v>1812</v>
      </c>
      <c r="E3883" t="s">
        <v>4546</v>
      </c>
      <c r="F3883">
        <v>4912</v>
      </c>
      <c r="G3883" t="s">
        <v>64</v>
      </c>
      <c r="H3883" t="s">
        <v>16</v>
      </c>
      <c r="I3883" t="s">
        <v>2275</v>
      </c>
      <c r="J3883" t="s">
        <v>2276</v>
      </c>
      <c r="K3883" t="s">
        <v>1809</v>
      </c>
      <c r="L3883" t="str">
        <f>HYPERLINK("https://business-monitor.ch/de/companies/306301-schuepbach-inneneinrichtungen?utm_source=oberaargau","PROFIL ANSEHEN")</f>
        <v>PROFIL ANSEHEN</v>
      </c>
    </row>
    <row r="3884" spans="1:12" x14ac:dyDescent="0.2">
      <c r="A3884" t="s">
        <v>14608</v>
      </c>
      <c r="B3884" t="s">
        <v>14609</v>
      </c>
      <c r="C3884" t="s">
        <v>202</v>
      </c>
      <c r="E3884" t="s">
        <v>4903</v>
      </c>
      <c r="F3884">
        <v>4938</v>
      </c>
      <c r="G3884" t="s">
        <v>618</v>
      </c>
      <c r="H3884" t="s">
        <v>16</v>
      </c>
      <c r="I3884" t="s">
        <v>1097</v>
      </c>
      <c r="J3884" t="s">
        <v>1098</v>
      </c>
      <c r="K3884" t="s">
        <v>1809</v>
      </c>
      <c r="L3884" t="str">
        <f>HYPERLINK("https://business-monitor.ch/de/companies/1305249-nowu-swiss-gmbh?utm_source=oberaargau","PROFIL ANSEHEN")</f>
        <v>PROFIL ANSEHEN</v>
      </c>
    </row>
    <row r="3885" spans="1:12" x14ac:dyDescent="0.2">
      <c r="A3885" t="s">
        <v>2182</v>
      </c>
      <c r="B3885" t="s">
        <v>2183</v>
      </c>
      <c r="C3885" t="s">
        <v>1812</v>
      </c>
      <c r="E3885" t="s">
        <v>2184</v>
      </c>
      <c r="F3885">
        <v>4538</v>
      </c>
      <c r="G3885" t="s">
        <v>71</v>
      </c>
      <c r="H3885" t="s">
        <v>16</v>
      </c>
      <c r="I3885" t="s">
        <v>1458</v>
      </c>
      <c r="J3885" t="s">
        <v>1459</v>
      </c>
      <c r="K3885" t="s">
        <v>1809</v>
      </c>
      <c r="L3885" t="str">
        <f>HYPERLINK("https://business-monitor.ch/de/companies/1080239-naturseifae-by-livia-urben?utm_source=oberaargau","PROFIL ANSEHEN")</f>
        <v>PROFIL ANSEHEN</v>
      </c>
    </row>
    <row r="3886" spans="1:12" x14ac:dyDescent="0.2">
      <c r="A3886" t="s">
        <v>11153</v>
      </c>
      <c r="B3886" t="s">
        <v>11154</v>
      </c>
      <c r="C3886" t="s">
        <v>202</v>
      </c>
      <c r="E3886" t="s">
        <v>1604</v>
      </c>
      <c r="F3886">
        <v>4922</v>
      </c>
      <c r="G3886" t="s">
        <v>99</v>
      </c>
      <c r="H3886" t="s">
        <v>16</v>
      </c>
      <c r="I3886" t="s">
        <v>298</v>
      </c>
      <c r="J3886" t="s">
        <v>299</v>
      </c>
      <c r="K3886" t="s">
        <v>1809</v>
      </c>
      <c r="L3886" t="str">
        <f>HYPERLINK("https://business-monitor.ch/de/companies/363285-werkstark-gmbh?utm_source=oberaargau","PROFIL ANSEHEN")</f>
        <v>PROFIL ANSEHEN</v>
      </c>
    </row>
    <row r="3887" spans="1:12" x14ac:dyDescent="0.2">
      <c r="A3887" t="s">
        <v>6511</v>
      </c>
      <c r="B3887" t="s">
        <v>6512</v>
      </c>
      <c r="C3887" t="s">
        <v>13</v>
      </c>
      <c r="E3887" t="s">
        <v>6513</v>
      </c>
      <c r="F3887">
        <v>4704</v>
      </c>
      <c r="G3887" t="s">
        <v>221</v>
      </c>
      <c r="H3887" t="s">
        <v>16</v>
      </c>
      <c r="I3887" t="s">
        <v>1361</v>
      </c>
      <c r="J3887" t="s">
        <v>1362</v>
      </c>
      <c r="K3887" t="s">
        <v>1809</v>
      </c>
      <c r="L3887" t="str">
        <f>HYPERLINK("https://business-monitor.ch/de/companies/240221-nonpa-ag?utm_source=oberaargau","PROFIL ANSEHEN")</f>
        <v>PROFIL ANSEHEN</v>
      </c>
    </row>
    <row r="3888" spans="1:12" x14ac:dyDescent="0.2">
      <c r="A3888" t="s">
        <v>10768</v>
      </c>
      <c r="B3888" t="s">
        <v>10769</v>
      </c>
      <c r="C3888" t="s">
        <v>1812</v>
      </c>
      <c r="E3888" t="s">
        <v>10770</v>
      </c>
      <c r="F3888">
        <v>4922</v>
      </c>
      <c r="G3888" t="s">
        <v>99</v>
      </c>
      <c r="H3888" t="s">
        <v>16</v>
      </c>
      <c r="I3888" t="s">
        <v>464</v>
      </c>
      <c r="J3888" t="s">
        <v>465</v>
      </c>
      <c r="K3888" t="s">
        <v>1809</v>
      </c>
      <c r="L3888" t="str">
        <f>HYPERLINK("https://business-monitor.ch/de/companies/669005-m-petermann-transport?utm_source=oberaargau","PROFIL ANSEHEN")</f>
        <v>PROFIL ANSEHEN</v>
      </c>
    </row>
    <row r="3889" spans="1:12" x14ac:dyDescent="0.2">
      <c r="A3889" t="s">
        <v>9854</v>
      </c>
      <c r="B3889" t="s">
        <v>9855</v>
      </c>
      <c r="C3889" t="s">
        <v>1812</v>
      </c>
      <c r="E3889" t="s">
        <v>4355</v>
      </c>
      <c r="F3889">
        <v>4914</v>
      </c>
      <c r="G3889" t="s">
        <v>105</v>
      </c>
      <c r="H3889" t="s">
        <v>16</v>
      </c>
      <c r="I3889" t="s">
        <v>642</v>
      </c>
      <c r="J3889" t="s">
        <v>643</v>
      </c>
      <c r="K3889" t="s">
        <v>1809</v>
      </c>
      <c r="L3889" t="str">
        <f>HYPERLINK("https://business-monitor.ch/de/companies/989517-my-garage-inhaber-kuenzi-marco?utm_source=oberaargau","PROFIL ANSEHEN")</f>
        <v>PROFIL ANSEHEN</v>
      </c>
    </row>
    <row r="3890" spans="1:12" x14ac:dyDescent="0.2">
      <c r="A3890" t="s">
        <v>14610</v>
      </c>
      <c r="B3890" t="s">
        <v>14611</v>
      </c>
      <c r="C3890" t="s">
        <v>202</v>
      </c>
      <c r="E3890" t="s">
        <v>12754</v>
      </c>
      <c r="F3890">
        <v>4900</v>
      </c>
      <c r="G3890" t="s">
        <v>41</v>
      </c>
      <c r="H3890" t="s">
        <v>16</v>
      </c>
      <c r="I3890" t="s">
        <v>824</v>
      </c>
      <c r="J3890" t="s">
        <v>825</v>
      </c>
      <c r="K3890" t="s">
        <v>1809</v>
      </c>
      <c r="L3890" t="str">
        <f>HYPERLINK("https://business-monitor.ch/de/companies/1307437-vamac-mcd-gmbh?utm_source=oberaargau","PROFIL ANSEHEN")</f>
        <v>PROFIL ANSEHEN</v>
      </c>
    </row>
    <row r="3891" spans="1:12" x14ac:dyDescent="0.2">
      <c r="A3891" t="s">
        <v>6763</v>
      </c>
      <c r="B3891" t="s">
        <v>6764</v>
      </c>
      <c r="C3891" t="s">
        <v>13</v>
      </c>
      <c r="E3891" t="s">
        <v>6765</v>
      </c>
      <c r="F3891">
        <v>3380</v>
      </c>
      <c r="G3891" t="s">
        <v>29</v>
      </c>
      <c r="H3891" t="s">
        <v>16</v>
      </c>
      <c r="I3891" t="s">
        <v>59</v>
      </c>
      <c r="J3891" t="s">
        <v>60</v>
      </c>
      <c r="K3891" t="s">
        <v>1809</v>
      </c>
      <c r="L3891" t="str">
        <f>HYPERLINK("https://business-monitor.ch/de/companies/118324-hotel-krone-wangen-an-der-aare-ag?utm_source=oberaargau","PROFIL ANSEHEN")</f>
        <v>PROFIL ANSEHEN</v>
      </c>
    </row>
    <row r="3892" spans="1:12" x14ac:dyDescent="0.2">
      <c r="A3892" t="s">
        <v>10778</v>
      </c>
      <c r="B3892" t="s">
        <v>10779</v>
      </c>
      <c r="C3892" t="s">
        <v>1812</v>
      </c>
      <c r="D3892" t="s">
        <v>11367</v>
      </c>
      <c r="E3892" t="s">
        <v>11368</v>
      </c>
      <c r="F3892">
        <v>4537</v>
      </c>
      <c r="G3892" t="s">
        <v>113</v>
      </c>
      <c r="H3892" t="s">
        <v>16</v>
      </c>
      <c r="I3892" t="s">
        <v>1993</v>
      </c>
      <c r="J3892" t="s">
        <v>1994</v>
      </c>
      <c r="K3892" t="s">
        <v>1809</v>
      </c>
      <c r="L3892" t="str">
        <f>HYPERLINK("https://business-monitor.ch/de/companies/1100963-gruner-immobilien?utm_source=oberaargau","PROFIL ANSEHEN")</f>
        <v>PROFIL ANSEHEN</v>
      </c>
    </row>
    <row r="3893" spans="1:12" x14ac:dyDescent="0.2">
      <c r="A3893" t="s">
        <v>14336</v>
      </c>
      <c r="B3893" t="s">
        <v>14337</v>
      </c>
      <c r="C3893" t="s">
        <v>202</v>
      </c>
      <c r="D3893" t="s">
        <v>5210</v>
      </c>
      <c r="E3893" t="s">
        <v>1200</v>
      </c>
      <c r="F3893">
        <v>4900</v>
      </c>
      <c r="G3893" t="s">
        <v>41</v>
      </c>
      <c r="H3893" t="s">
        <v>16</v>
      </c>
      <c r="I3893" t="s">
        <v>186</v>
      </c>
      <c r="J3893" t="s">
        <v>187</v>
      </c>
      <c r="K3893" t="s">
        <v>1809</v>
      </c>
      <c r="L3893" t="str">
        <f>HYPERLINK("https://business-monitor.ch/de/companies/1290206-patrik-arm-gmbh?utm_source=oberaargau","PROFIL ANSEHEN")</f>
        <v>PROFIL ANSEHEN</v>
      </c>
    </row>
    <row r="3894" spans="1:12" x14ac:dyDescent="0.2">
      <c r="A3894" t="s">
        <v>14166</v>
      </c>
      <c r="B3894" t="s">
        <v>14167</v>
      </c>
      <c r="C3894" t="s">
        <v>202</v>
      </c>
      <c r="E3894" t="s">
        <v>11715</v>
      </c>
      <c r="F3894">
        <v>4914</v>
      </c>
      <c r="G3894" t="s">
        <v>105</v>
      </c>
      <c r="H3894" t="s">
        <v>16</v>
      </c>
      <c r="I3894" t="s">
        <v>624</v>
      </c>
      <c r="J3894" t="s">
        <v>625</v>
      </c>
      <c r="K3894" t="s">
        <v>1809</v>
      </c>
      <c r="L3894" t="str">
        <f>HYPERLINK("https://business-monitor.ch/de/companies/1290020-convita-holzbau-gmbh?utm_source=oberaargau","PROFIL ANSEHEN")</f>
        <v>PROFIL ANSEHEN</v>
      </c>
    </row>
    <row r="3895" spans="1:12" x14ac:dyDescent="0.2">
      <c r="A3895" t="s">
        <v>11027</v>
      </c>
      <c r="B3895" t="s">
        <v>11028</v>
      </c>
      <c r="C3895" t="s">
        <v>202</v>
      </c>
      <c r="D3895" t="s">
        <v>11029</v>
      </c>
      <c r="E3895" t="s">
        <v>11030</v>
      </c>
      <c r="F3895">
        <v>4934</v>
      </c>
      <c r="G3895" t="s">
        <v>670</v>
      </c>
      <c r="H3895" t="s">
        <v>16</v>
      </c>
      <c r="I3895" t="s">
        <v>587</v>
      </c>
      <c r="J3895" t="s">
        <v>588</v>
      </c>
      <c r="K3895" t="s">
        <v>1809</v>
      </c>
      <c r="L3895" t="str">
        <f>HYPERLINK("https://business-monitor.ch/de/companies/1120691-jemo-gmbh?utm_source=oberaargau","PROFIL ANSEHEN")</f>
        <v>PROFIL ANSEHEN</v>
      </c>
    </row>
    <row r="3896" spans="1:12" x14ac:dyDescent="0.2">
      <c r="A3896" t="s">
        <v>11293</v>
      </c>
      <c r="B3896" t="s">
        <v>11294</v>
      </c>
      <c r="C3896" t="s">
        <v>1812</v>
      </c>
      <c r="E3896" t="s">
        <v>14612</v>
      </c>
      <c r="F3896">
        <v>4935</v>
      </c>
      <c r="G3896" t="s">
        <v>443</v>
      </c>
      <c r="H3896" t="s">
        <v>16</v>
      </c>
      <c r="I3896" t="s">
        <v>624</v>
      </c>
      <c r="J3896" t="s">
        <v>625</v>
      </c>
      <c r="K3896" t="s">
        <v>1809</v>
      </c>
      <c r="L3896" t="str">
        <f>HYPERLINK("https://business-monitor.ch/de/companies/1131190-florian-kaeser-holzbau?utm_source=oberaargau","PROFIL ANSEHEN")</f>
        <v>PROFIL ANSEHEN</v>
      </c>
    </row>
    <row r="3897" spans="1:12" x14ac:dyDescent="0.2">
      <c r="A3897" t="s">
        <v>7009</v>
      </c>
      <c r="B3897" t="s">
        <v>7010</v>
      </c>
      <c r="C3897" t="s">
        <v>13</v>
      </c>
      <c r="D3897" t="s">
        <v>7011</v>
      </c>
      <c r="E3897" t="s">
        <v>7012</v>
      </c>
      <c r="F3897">
        <v>4536</v>
      </c>
      <c r="G3897" t="s">
        <v>1395</v>
      </c>
      <c r="H3897" t="s">
        <v>16</v>
      </c>
      <c r="I3897" t="s">
        <v>186</v>
      </c>
      <c r="J3897" t="s">
        <v>187</v>
      </c>
      <c r="K3897" t="s">
        <v>1809</v>
      </c>
      <c r="L3897" t="str">
        <f>HYPERLINK("https://business-monitor.ch/de/companies/600441-da-holding-ag?utm_source=oberaargau","PROFIL ANSEHEN")</f>
        <v>PROFIL ANSEHEN</v>
      </c>
    </row>
    <row r="3898" spans="1:12" x14ac:dyDescent="0.2">
      <c r="A3898" t="s">
        <v>6186</v>
      </c>
      <c r="B3898" t="s">
        <v>6187</v>
      </c>
      <c r="C3898" t="s">
        <v>202</v>
      </c>
      <c r="E3898" t="s">
        <v>6188</v>
      </c>
      <c r="F3898">
        <v>4900</v>
      </c>
      <c r="G3898" t="s">
        <v>41</v>
      </c>
      <c r="H3898" t="s">
        <v>16</v>
      </c>
      <c r="I3898" t="s">
        <v>1324</v>
      </c>
      <c r="J3898" t="s">
        <v>1325</v>
      </c>
      <c r="K3898" t="s">
        <v>1809</v>
      </c>
      <c r="L3898" t="str">
        <f>HYPERLINK("https://business-monitor.ch/de/companies/111145-mass-und-norm-waelti-gmbh?utm_source=oberaargau","PROFIL ANSEHEN")</f>
        <v>PROFIL ANSEHEN</v>
      </c>
    </row>
    <row r="3899" spans="1:12" x14ac:dyDescent="0.2">
      <c r="A3899" t="s">
        <v>3363</v>
      </c>
      <c r="B3899" t="s">
        <v>3364</v>
      </c>
      <c r="C3899" t="s">
        <v>13</v>
      </c>
      <c r="D3899" t="s">
        <v>14301</v>
      </c>
      <c r="E3899" t="s">
        <v>14302</v>
      </c>
      <c r="F3899">
        <v>3476</v>
      </c>
      <c r="G3899" t="s">
        <v>3506</v>
      </c>
      <c r="H3899" t="s">
        <v>16</v>
      </c>
      <c r="I3899" t="s">
        <v>2365</v>
      </c>
      <c r="J3899" t="s">
        <v>2366</v>
      </c>
      <c r="K3899" t="s">
        <v>1809</v>
      </c>
      <c r="L3899" t="str">
        <f>HYPERLINK("https://business-monitor.ch/de/companies/207333-alp-hintere-schmiedenmatt-ag?utm_source=oberaargau","PROFIL ANSEHEN")</f>
        <v>PROFIL ANSEHEN</v>
      </c>
    </row>
    <row r="3900" spans="1:12" x14ac:dyDescent="0.2">
      <c r="A3900" t="s">
        <v>13580</v>
      </c>
      <c r="B3900" t="s">
        <v>13581</v>
      </c>
      <c r="C3900" t="s">
        <v>1812</v>
      </c>
      <c r="D3900" t="s">
        <v>13582</v>
      </c>
      <c r="E3900" t="s">
        <v>13583</v>
      </c>
      <c r="F3900">
        <v>4950</v>
      </c>
      <c r="G3900" t="s">
        <v>15</v>
      </c>
      <c r="H3900" t="s">
        <v>16</v>
      </c>
      <c r="I3900" t="s">
        <v>1097</v>
      </c>
      <c r="J3900" t="s">
        <v>1098</v>
      </c>
      <c r="K3900" t="s">
        <v>1809</v>
      </c>
      <c r="L3900" t="str">
        <f>HYPERLINK("https://business-monitor.ch/de/companies/1267575-zorvito-inhaber-cuordileone?utm_source=oberaargau","PROFIL ANSEHEN")</f>
        <v>PROFIL ANSEHEN</v>
      </c>
    </row>
    <row r="3901" spans="1:12" x14ac:dyDescent="0.2">
      <c r="A3901" t="s">
        <v>7671</v>
      </c>
      <c r="B3901" t="s">
        <v>7672</v>
      </c>
      <c r="C3901" t="s">
        <v>202</v>
      </c>
      <c r="D3901" t="s">
        <v>7673</v>
      </c>
      <c r="E3901" t="s">
        <v>7674</v>
      </c>
      <c r="F3901">
        <v>4704</v>
      </c>
      <c r="G3901" t="s">
        <v>221</v>
      </c>
      <c r="H3901" t="s">
        <v>16</v>
      </c>
      <c r="I3901" t="s">
        <v>260</v>
      </c>
      <c r="J3901" t="s">
        <v>261</v>
      </c>
      <c r="K3901" t="s">
        <v>1809</v>
      </c>
      <c r="L3901" t="str">
        <f>HYPERLINK("https://business-monitor.ch/de/companies/621913-stadelmann-baurealisierung-gmbh?utm_source=oberaargau","PROFIL ANSEHEN")</f>
        <v>PROFIL ANSEHEN</v>
      </c>
    </row>
    <row r="3902" spans="1:12" x14ac:dyDescent="0.2">
      <c r="A3902" t="s">
        <v>10114</v>
      </c>
      <c r="B3902" t="s">
        <v>10115</v>
      </c>
      <c r="C3902" t="s">
        <v>13</v>
      </c>
      <c r="D3902" t="s">
        <v>10116</v>
      </c>
      <c r="E3902" t="s">
        <v>607</v>
      </c>
      <c r="F3902">
        <v>4950</v>
      </c>
      <c r="G3902" t="s">
        <v>15</v>
      </c>
      <c r="H3902" t="s">
        <v>16</v>
      </c>
      <c r="I3902" t="s">
        <v>186</v>
      </c>
      <c r="J3902" t="s">
        <v>187</v>
      </c>
      <c r="K3902" t="s">
        <v>1809</v>
      </c>
      <c r="L3902" t="str">
        <f>HYPERLINK("https://business-monitor.ch/de/companies/669746-smbl-holding-ag?utm_source=oberaargau","PROFIL ANSEHEN")</f>
        <v>PROFIL ANSEHEN</v>
      </c>
    </row>
    <row r="3903" spans="1:12" x14ac:dyDescent="0.2">
      <c r="A3903" t="s">
        <v>14158</v>
      </c>
      <c r="B3903" t="s">
        <v>14159</v>
      </c>
      <c r="C3903" t="s">
        <v>202</v>
      </c>
      <c r="E3903" t="s">
        <v>12263</v>
      </c>
      <c r="F3903">
        <v>4536</v>
      </c>
      <c r="G3903" t="s">
        <v>1395</v>
      </c>
      <c r="H3903" t="s">
        <v>16</v>
      </c>
      <c r="I3903" t="s">
        <v>1557</v>
      </c>
      <c r="J3903" t="s">
        <v>1558</v>
      </c>
      <c r="K3903" t="s">
        <v>1809</v>
      </c>
      <c r="L3903" t="str">
        <f>HYPERLINK("https://business-monitor.ch/de/companies/1295747-mueller-promotion-gmbh?utm_source=oberaargau","PROFIL ANSEHEN")</f>
        <v>PROFIL ANSEHEN</v>
      </c>
    </row>
    <row r="3904" spans="1:12" x14ac:dyDescent="0.2">
      <c r="A3904" t="s">
        <v>9350</v>
      </c>
      <c r="B3904" t="s">
        <v>9351</v>
      </c>
      <c r="C3904" t="s">
        <v>13</v>
      </c>
      <c r="E3904" t="s">
        <v>4246</v>
      </c>
      <c r="F3904">
        <v>4900</v>
      </c>
      <c r="G3904" t="s">
        <v>41</v>
      </c>
      <c r="H3904" t="s">
        <v>16</v>
      </c>
      <c r="I3904" t="s">
        <v>2019</v>
      </c>
      <c r="J3904" t="s">
        <v>2020</v>
      </c>
      <c r="K3904" t="s">
        <v>1809</v>
      </c>
      <c r="L3904" t="str">
        <f>HYPERLINK("https://business-monitor.ch/de/companies/73105-mei-ag?utm_source=oberaargau","PROFIL ANSEHEN")</f>
        <v>PROFIL ANSEHEN</v>
      </c>
    </row>
    <row r="3905" spans="1:12" x14ac:dyDescent="0.2">
      <c r="A3905" t="s">
        <v>3894</v>
      </c>
      <c r="B3905" t="s">
        <v>3895</v>
      </c>
      <c r="C3905" t="s">
        <v>13</v>
      </c>
      <c r="D3905" t="s">
        <v>3896</v>
      </c>
      <c r="E3905" t="s">
        <v>3897</v>
      </c>
      <c r="F3905">
        <v>4900</v>
      </c>
      <c r="G3905" t="s">
        <v>41</v>
      </c>
      <c r="H3905" t="s">
        <v>16</v>
      </c>
      <c r="I3905" t="s">
        <v>935</v>
      </c>
      <c r="J3905" t="s">
        <v>936</v>
      </c>
      <c r="K3905" t="s">
        <v>1809</v>
      </c>
      <c r="L3905" t="str">
        <f>HYPERLINK("https://business-monitor.ch/de/companies/1024884-kw-ag?utm_source=oberaargau","PROFIL ANSEHEN")</f>
        <v>PROFIL ANSEHEN</v>
      </c>
    </row>
    <row r="3906" spans="1:12" x14ac:dyDescent="0.2">
      <c r="A3906" t="s">
        <v>4684</v>
      </c>
      <c r="B3906" t="s">
        <v>4685</v>
      </c>
      <c r="C3906" t="s">
        <v>1812</v>
      </c>
      <c r="E3906" t="s">
        <v>4686</v>
      </c>
      <c r="F3906">
        <v>4900</v>
      </c>
      <c r="G3906" t="s">
        <v>41</v>
      </c>
      <c r="H3906" t="s">
        <v>16</v>
      </c>
      <c r="I3906" t="s">
        <v>772</v>
      </c>
      <c r="J3906" t="s">
        <v>773</v>
      </c>
      <c r="K3906" t="s">
        <v>1809</v>
      </c>
      <c r="L3906" t="str">
        <f>HYPERLINK("https://business-monitor.ch/de/companies/608392-fashion-style-luedi?utm_source=oberaargau","PROFIL ANSEHEN")</f>
        <v>PROFIL ANSEHEN</v>
      </c>
    </row>
    <row r="3907" spans="1:12" x14ac:dyDescent="0.2">
      <c r="A3907" t="s">
        <v>10681</v>
      </c>
      <c r="B3907" t="s">
        <v>10682</v>
      </c>
      <c r="C3907" t="s">
        <v>1812</v>
      </c>
      <c r="E3907" t="s">
        <v>4922</v>
      </c>
      <c r="F3907">
        <v>4933</v>
      </c>
      <c r="G3907" t="s">
        <v>3812</v>
      </c>
      <c r="H3907" t="s">
        <v>16</v>
      </c>
      <c r="I3907" t="s">
        <v>298</v>
      </c>
      <c r="J3907" t="s">
        <v>299</v>
      </c>
      <c r="K3907" t="s">
        <v>1809</v>
      </c>
      <c r="L3907" t="str">
        <f>HYPERLINK("https://business-monitor.ch/de/companies/1055822-scheiber-s?utm_source=oberaargau","PROFIL ANSEHEN")</f>
        <v>PROFIL ANSEHEN</v>
      </c>
    </row>
    <row r="3908" spans="1:12" x14ac:dyDescent="0.2">
      <c r="A3908" t="s">
        <v>7375</v>
      </c>
      <c r="B3908" t="s">
        <v>12380</v>
      </c>
      <c r="C3908" t="s">
        <v>202</v>
      </c>
      <c r="E3908" t="s">
        <v>14316</v>
      </c>
      <c r="F3908">
        <v>4932</v>
      </c>
      <c r="G3908" t="s">
        <v>325</v>
      </c>
      <c r="H3908" t="s">
        <v>16</v>
      </c>
      <c r="I3908" t="s">
        <v>854</v>
      </c>
      <c r="J3908" t="s">
        <v>855</v>
      </c>
      <c r="K3908" t="s">
        <v>1809</v>
      </c>
      <c r="L3908" t="str">
        <f>HYPERLINK("https://business-monitor.ch/de/companies/974660-bloomdigital-gmbh?utm_source=oberaargau","PROFIL ANSEHEN")</f>
        <v>PROFIL ANSEHEN</v>
      </c>
    </row>
    <row r="3909" spans="1:12" x14ac:dyDescent="0.2">
      <c r="A3909" t="s">
        <v>10973</v>
      </c>
      <c r="B3909" t="s">
        <v>10974</v>
      </c>
      <c r="C3909" t="s">
        <v>1812</v>
      </c>
      <c r="D3909" t="s">
        <v>10975</v>
      </c>
      <c r="E3909" t="s">
        <v>10976</v>
      </c>
      <c r="F3909">
        <v>3362</v>
      </c>
      <c r="G3909" t="s">
        <v>47</v>
      </c>
      <c r="H3909" t="s">
        <v>16</v>
      </c>
      <c r="I3909" t="s">
        <v>1097</v>
      </c>
      <c r="J3909" t="s">
        <v>1098</v>
      </c>
      <c r="K3909" t="s">
        <v>1809</v>
      </c>
      <c r="L3909" t="str">
        <f>HYPERLINK("https://business-monitor.ch/de/companies/1103218-gilgen-commerce?utm_source=oberaargau","PROFIL ANSEHEN")</f>
        <v>PROFIL ANSEHEN</v>
      </c>
    </row>
    <row r="3910" spans="1:12" x14ac:dyDescent="0.2">
      <c r="A3910" t="s">
        <v>14613</v>
      </c>
      <c r="B3910" t="s">
        <v>14614</v>
      </c>
      <c r="C3910" t="s">
        <v>202</v>
      </c>
      <c r="D3910" t="s">
        <v>14615</v>
      </c>
      <c r="E3910" t="s">
        <v>14616</v>
      </c>
      <c r="F3910">
        <v>4950</v>
      </c>
      <c r="G3910" t="s">
        <v>15</v>
      </c>
      <c r="H3910" t="s">
        <v>16</v>
      </c>
      <c r="I3910" t="s">
        <v>186</v>
      </c>
      <c r="J3910" t="s">
        <v>187</v>
      </c>
      <c r="K3910" t="s">
        <v>1809</v>
      </c>
      <c r="L3910" t="str">
        <f>HYPERLINK("https://business-monitor.ch/de/companies/1309186-mosingold-gmbh?utm_source=oberaargau","PROFIL ANSEHEN")</f>
        <v>PROFIL ANSEHEN</v>
      </c>
    </row>
    <row r="3911" spans="1:12" x14ac:dyDescent="0.2">
      <c r="A3911" t="s">
        <v>2140</v>
      </c>
      <c r="B3911" t="s">
        <v>2141</v>
      </c>
      <c r="C3911" t="s">
        <v>13</v>
      </c>
      <c r="E3911" t="s">
        <v>1787</v>
      </c>
      <c r="F3911">
        <v>4900</v>
      </c>
      <c r="G3911" t="s">
        <v>41</v>
      </c>
      <c r="H3911" t="s">
        <v>16</v>
      </c>
      <c r="I3911" t="s">
        <v>232</v>
      </c>
      <c r="J3911" t="s">
        <v>233</v>
      </c>
      <c r="K3911" t="s">
        <v>1809</v>
      </c>
      <c r="L3911" t="str">
        <f>HYPERLINK("https://business-monitor.ch/de/companies/5553-treuhand-emme-ag?utm_source=oberaargau","PROFIL ANSEHEN")</f>
        <v>PROFIL ANSEHEN</v>
      </c>
    </row>
    <row r="3912" spans="1:12" x14ac:dyDescent="0.2">
      <c r="A3912" t="s">
        <v>10208</v>
      </c>
      <c r="B3912" t="s">
        <v>10209</v>
      </c>
      <c r="C3912" t="s">
        <v>1812</v>
      </c>
      <c r="E3912" t="s">
        <v>12004</v>
      </c>
      <c r="F3912">
        <v>3368</v>
      </c>
      <c r="G3912" t="s">
        <v>308</v>
      </c>
      <c r="H3912" t="s">
        <v>16</v>
      </c>
      <c r="I3912" t="s">
        <v>464</v>
      </c>
      <c r="J3912" t="s">
        <v>465</v>
      </c>
      <c r="K3912" t="s">
        <v>1809</v>
      </c>
      <c r="L3912" t="str">
        <f>HYPERLINK("https://business-monitor.ch/de/companies/616858-freitag-transporte?utm_source=oberaargau","PROFIL ANSEHEN")</f>
        <v>PROFIL ANSEHEN</v>
      </c>
    </row>
    <row r="3913" spans="1:12" x14ac:dyDescent="0.2">
      <c r="A3913" t="s">
        <v>3779</v>
      </c>
      <c r="B3913" t="s">
        <v>3780</v>
      </c>
      <c r="C3913" t="s">
        <v>1812</v>
      </c>
      <c r="E3913" t="s">
        <v>3781</v>
      </c>
      <c r="F3913">
        <v>4900</v>
      </c>
      <c r="G3913" t="s">
        <v>41</v>
      </c>
      <c r="H3913" t="s">
        <v>16</v>
      </c>
      <c r="I3913" t="s">
        <v>551</v>
      </c>
      <c r="J3913" t="s">
        <v>552</v>
      </c>
      <c r="K3913" t="s">
        <v>1809</v>
      </c>
      <c r="L3913" t="str">
        <f>HYPERLINK("https://business-monitor.ch/de/companies/953513-hess-changemanagement?utm_source=oberaargau","PROFIL ANSEHEN")</f>
        <v>PROFIL ANSEHEN</v>
      </c>
    </row>
    <row r="3914" spans="1:12" x14ac:dyDescent="0.2">
      <c r="A3914" t="s">
        <v>4012</v>
      </c>
      <c r="B3914" t="s">
        <v>4013</v>
      </c>
      <c r="C3914" t="s">
        <v>1812</v>
      </c>
      <c r="E3914" t="s">
        <v>4014</v>
      </c>
      <c r="F3914">
        <v>4922</v>
      </c>
      <c r="G3914" t="s">
        <v>99</v>
      </c>
      <c r="H3914" t="s">
        <v>16</v>
      </c>
      <c r="I3914" t="s">
        <v>191</v>
      </c>
      <c r="J3914" t="s">
        <v>192</v>
      </c>
      <c r="K3914" t="s">
        <v>1809</v>
      </c>
      <c r="L3914" t="str">
        <f>HYPERLINK("https://business-monitor.ch/de/companies/616936-ryser-landtechnik?utm_source=oberaargau","PROFIL ANSEHEN")</f>
        <v>PROFIL ANSEHEN</v>
      </c>
    </row>
    <row r="3915" spans="1:12" x14ac:dyDescent="0.2">
      <c r="A3915" t="s">
        <v>9520</v>
      </c>
      <c r="B3915" t="s">
        <v>9521</v>
      </c>
      <c r="C3915" t="s">
        <v>202</v>
      </c>
      <c r="E3915" t="s">
        <v>9522</v>
      </c>
      <c r="F3915">
        <v>4539</v>
      </c>
      <c r="G3915" t="s">
        <v>1134</v>
      </c>
      <c r="H3915" t="s">
        <v>16</v>
      </c>
      <c r="I3915" t="s">
        <v>3861</v>
      </c>
      <c r="J3915" t="s">
        <v>3862</v>
      </c>
      <c r="K3915" t="s">
        <v>1809</v>
      </c>
      <c r="L3915" t="str">
        <f>HYPERLINK("https://business-monitor.ch/de/companies/580180-lichtspirale-gmbh?utm_source=oberaargau","PROFIL ANSEHEN")</f>
        <v>PROFIL ANSEHEN</v>
      </c>
    </row>
    <row r="3916" spans="1:12" x14ac:dyDescent="0.2">
      <c r="A3916" t="s">
        <v>14132</v>
      </c>
      <c r="B3916" t="s">
        <v>14133</v>
      </c>
      <c r="C3916" t="s">
        <v>13</v>
      </c>
      <c r="D3916" t="s">
        <v>14134</v>
      </c>
      <c r="E3916" t="s">
        <v>14135</v>
      </c>
      <c r="F3916">
        <v>4917</v>
      </c>
      <c r="G3916" t="s">
        <v>376</v>
      </c>
      <c r="H3916" t="s">
        <v>16</v>
      </c>
      <c r="I3916" t="s">
        <v>619</v>
      </c>
      <c r="J3916" t="s">
        <v>620</v>
      </c>
      <c r="K3916" t="s">
        <v>1809</v>
      </c>
      <c r="L3916" t="str">
        <f>HYPERLINK("https://business-monitor.ch/de/companies/1291762-waermeverbund-sagiweg-ag?utm_source=oberaargau","PROFIL ANSEHEN")</f>
        <v>PROFIL ANSEHEN</v>
      </c>
    </row>
    <row r="3917" spans="1:12" x14ac:dyDescent="0.2">
      <c r="A3917" t="s">
        <v>5603</v>
      </c>
      <c r="B3917" t="s">
        <v>5604</v>
      </c>
      <c r="C3917" t="s">
        <v>1812</v>
      </c>
      <c r="E3917" t="s">
        <v>5605</v>
      </c>
      <c r="F3917">
        <v>4933</v>
      </c>
      <c r="G3917" t="s">
        <v>3812</v>
      </c>
      <c r="H3917" t="s">
        <v>16</v>
      </c>
      <c r="I3917" t="s">
        <v>624</v>
      </c>
      <c r="J3917" t="s">
        <v>625</v>
      </c>
      <c r="K3917" t="s">
        <v>1809</v>
      </c>
      <c r="L3917" t="str">
        <f>HYPERLINK("https://business-monitor.ch/de/companies/538303-maeder-christian?utm_source=oberaargau","PROFIL ANSEHEN")</f>
        <v>PROFIL ANSEHEN</v>
      </c>
    </row>
    <row r="3918" spans="1:12" x14ac:dyDescent="0.2">
      <c r="A3918" t="s">
        <v>14311</v>
      </c>
      <c r="B3918" t="s">
        <v>14312</v>
      </c>
      <c r="C3918" t="s">
        <v>1812</v>
      </c>
      <c r="E3918" t="s">
        <v>14313</v>
      </c>
      <c r="F3918">
        <v>3373</v>
      </c>
      <c r="G3918" t="s">
        <v>2429</v>
      </c>
      <c r="H3918" t="s">
        <v>16</v>
      </c>
      <c r="I3918" t="s">
        <v>2293</v>
      </c>
      <c r="J3918" t="s">
        <v>2294</v>
      </c>
      <c r="K3918" t="s">
        <v>1809</v>
      </c>
      <c r="L3918" t="str">
        <f>HYPERLINK("https://business-monitor.ch/de/companies/1292009-country-pet-schmied?utm_source=oberaargau","PROFIL ANSEHEN")</f>
        <v>PROFIL ANSEHEN</v>
      </c>
    </row>
    <row r="3919" spans="1:12" x14ac:dyDescent="0.2">
      <c r="A3919" t="s">
        <v>8869</v>
      </c>
      <c r="B3919" t="s">
        <v>8870</v>
      </c>
      <c r="C3919" t="s">
        <v>13</v>
      </c>
      <c r="D3919" t="s">
        <v>8871</v>
      </c>
      <c r="E3919" t="s">
        <v>8872</v>
      </c>
      <c r="F3919">
        <v>4900</v>
      </c>
      <c r="G3919" t="s">
        <v>41</v>
      </c>
      <c r="H3919" t="s">
        <v>16</v>
      </c>
      <c r="I3919" t="s">
        <v>186</v>
      </c>
      <c r="J3919" t="s">
        <v>187</v>
      </c>
      <c r="K3919" t="s">
        <v>1809</v>
      </c>
      <c r="L3919" t="str">
        <f>HYPERLINK("https://business-monitor.ch/de/companies/313013-mb-beteiligungs-ag?utm_source=oberaargau","PROFIL ANSEHEN")</f>
        <v>PROFIL ANSEHEN</v>
      </c>
    </row>
    <row r="3920" spans="1:12" x14ac:dyDescent="0.2">
      <c r="A3920" t="s">
        <v>10185</v>
      </c>
      <c r="B3920" t="s">
        <v>10186</v>
      </c>
      <c r="C3920" t="s">
        <v>1827</v>
      </c>
      <c r="E3920" t="s">
        <v>12168</v>
      </c>
      <c r="F3920">
        <v>4932</v>
      </c>
      <c r="G3920" t="s">
        <v>325</v>
      </c>
      <c r="H3920" t="s">
        <v>16</v>
      </c>
      <c r="I3920" t="s">
        <v>6092</v>
      </c>
      <c r="J3920" t="s">
        <v>6093</v>
      </c>
      <c r="K3920" t="s">
        <v>1809</v>
      </c>
      <c r="L3920" t="str">
        <f>HYPERLINK("https://business-monitor.ch/de/companies/634741-smartdistribution-klg?utm_source=oberaargau","PROFIL ANSEHEN")</f>
        <v>PROFIL ANSEHEN</v>
      </c>
    </row>
    <row r="3921" spans="1:12" x14ac:dyDescent="0.2">
      <c r="A3921" t="s">
        <v>3908</v>
      </c>
      <c r="B3921" t="s">
        <v>3909</v>
      </c>
      <c r="C3921" t="s">
        <v>1812</v>
      </c>
      <c r="E3921" t="s">
        <v>3910</v>
      </c>
      <c r="F3921">
        <v>4704</v>
      </c>
      <c r="G3921" t="s">
        <v>221</v>
      </c>
      <c r="H3921" t="s">
        <v>16</v>
      </c>
      <c r="I3921" t="s">
        <v>642</v>
      </c>
      <c r="J3921" t="s">
        <v>643</v>
      </c>
      <c r="K3921" t="s">
        <v>1809</v>
      </c>
      <c r="L3921" t="str">
        <f>HYPERLINK("https://business-monitor.ch/de/companies/972355-dorfgarage-a-meister?utm_source=oberaargau","PROFIL ANSEHEN")</f>
        <v>PROFIL ANSEHEN</v>
      </c>
    </row>
    <row r="3922" spans="1:12" x14ac:dyDescent="0.2">
      <c r="A3922" t="s">
        <v>6740</v>
      </c>
      <c r="B3922" t="s">
        <v>6741</v>
      </c>
      <c r="C3922" t="s">
        <v>13</v>
      </c>
      <c r="E3922" t="s">
        <v>6742</v>
      </c>
      <c r="F3922">
        <v>3360</v>
      </c>
      <c r="G3922" t="s">
        <v>35</v>
      </c>
      <c r="H3922" t="s">
        <v>16</v>
      </c>
      <c r="I3922" t="s">
        <v>24</v>
      </c>
      <c r="J3922" t="s">
        <v>25</v>
      </c>
      <c r="K3922" t="s">
        <v>1809</v>
      </c>
      <c r="L3922" t="str">
        <f>HYPERLINK("https://business-monitor.ch/de/companies/127329-artification-ag?utm_source=oberaargau","PROFIL ANSEHEN")</f>
        <v>PROFIL ANSEHEN</v>
      </c>
    </row>
    <row r="3923" spans="1:12" x14ac:dyDescent="0.2">
      <c r="A3923" t="s">
        <v>3892</v>
      </c>
      <c r="B3923" t="s">
        <v>3893</v>
      </c>
      <c r="C3923" t="s">
        <v>202</v>
      </c>
      <c r="E3923" t="s">
        <v>2559</v>
      </c>
      <c r="F3923">
        <v>4704</v>
      </c>
      <c r="G3923" t="s">
        <v>221</v>
      </c>
      <c r="H3923" t="s">
        <v>16</v>
      </c>
      <c r="I3923" t="s">
        <v>1470</v>
      </c>
      <c r="J3923" t="s">
        <v>1471</v>
      </c>
      <c r="K3923" t="s">
        <v>1809</v>
      </c>
      <c r="L3923" t="str">
        <f>HYPERLINK("https://business-monitor.ch/de/companies/1051620-tonisol-gmbh?utm_source=oberaargau","PROFIL ANSEHEN")</f>
        <v>PROFIL ANSEHEN</v>
      </c>
    </row>
    <row r="3924" spans="1:12" x14ac:dyDescent="0.2">
      <c r="A3924" t="s">
        <v>11034</v>
      </c>
      <c r="B3924" t="s">
        <v>11035</v>
      </c>
      <c r="C3924" t="s">
        <v>202</v>
      </c>
      <c r="E3924" t="s">
        <v>6705</v>
      </c>
      <c r="F3924">
        <v>4900</v>
      </c>
      <c r="G3924" t="s">
        <v>41</v>
      </c>
      <c r="H3924" t="s">
        <v>16</v>
      </c>
      <c r="I3924" t="s">
        <v>1296</v>
      </c>
      <c r="J3924" t="s">
        <v>1297</v>
      </c>
      <c r="K3924" t="s">
        <v>1809</v>
      </c>
      <c r="L3924" t="str">
        <f>HYPERLINK("https://business-monitor.ch/de/companies/1120692-m-canova-gmbh?utm_source=oberaargau","PROFIL ANSEHEN")</f>
        <v>PROFIL ANSEHEN</v>
      </c>
    </row>
    <row r="3925" spans="1:12" x14ac:dyDescent="0.2">
      <c r="A3925" t="s">
        <v>6823</v>
      </c>
      <c r="B3925" t="s">
        <v>6824</v>
      </c>
      <c r="C3925" t="s">
        <v>202</v>
      </c>
      <c r="D3925" t="s">
        <v>3061</v>
      </c>
      <c r="E3925" t="s">
        <v>3062</v>
      </c>
      <c r="F3925">
        <v>3365</v>
      </c>
      <c r="G3925" t="s">
        <v>1008</v>
      </c>
      <c r="H3925" t="s">
        <v>16</v>
      </c>
      <c r="I3925" t="s">
        <v>551</v>
      </c>
      <c r="J3925" t="s">
        <v>552</v>
      </c>
      <c r="K3925" t="s">
        <v>1809</v>
      </c>
      <c r="L3925" t="str">
        <f>HYPERLINK("https://business-monitor.ch/de/companies/72104-active-coaching-gmbh?utm_source=oberaargau","PROFIL ANSEHEN")</f>
        <v>PROFIL ANSEHEN</v>
      </c>
    </row>
    <row r="3926" spans="1:12" x14ac:dyDescent="0.2">
      <c r="A3926" t="s">
        <v>9176</v>
      </c>
      <c r="B3926" t="s">
        <v>9177</v>
      </c>
      <c r="C3926" t="s">
        <v>1812</v>
      </c>
      <c r="E3926" t="s">
        <v>9178</v>
      </c>
      <c r="F3926">
        <v>4539</v>
      </c>
      <c r="G3926" t="s">
        <v>1134</v>
      </c>
      <c r="H3926" t="s">
        <v>16</v>
      </c>
      <c r="I3926" t="s">
        <v>2665</v>
      </c>
      <c r="J3926" t="s">
        <v>2666</v>
      </c>
      <c r="K3926" t="s">
        <v>1809</v>
      </c>
      <c r="L3926" t="str">
        <f>HYPERLINK("https://business-monitor.ch/de/companies/155882-annelies-metzger-tranceformation?utm_source=oberaargau","PROFIL ANSEHEN")</f>
        <v>PROFIL ANSEHEN</v>
      </c>
    </row>
    <row r="3927" spans="1:12" x14ac:dyDescent="0.2">
      <c r="A3927" t="s">
        <v>5301</v>
      </c>
      <c r="B3927" t="s">
        <v>5302</v>
      </c>
      <c r="C3927" t="s">
        <v>202</v>
      </c>
      <c r="E3927" t="s">
        <v>12738</v>
      </c>
      <c r="F3927">
        <v>4938</v>
      </c>
      <c r="G3927" t="s">
        <v>618</v>
      </c>
      <c r="H3927" t="s">
        <v>16</v>
      </c>
      <c r="I3927" t="s">
        <v>2027</v>
      </c>
      <c r="J3927" t="s">
        <v>2028</v>
      </c>
      <c r="K3927" t="s">
        <v>1809</v>
      </c>
      <c r="L3927" t="str">
        <f>HYPERLINK("https://business-monitor.ch/de/companies/318167-ho2-gmbh?utm_source=oberaargau","PROFIL ANSEHEN")</f>
        <v>PROFIL ANSEHEN</v>
      </c>
    </row>
    <row r="3928" spans="1:12" x14ac:dyDescent="0.2">
      <c r="A3928" t="s">
        <v>14251</v>
      </c>
      <c r="B3928" t="s">
        <v>14252</v>
      </c>
      <c r="C3928" t="s">
        <v>202</v>
      </c>
      <c r="E3928" t="s">
        <v>14253</v>
      </c>
      <c r="F3928">
        <v>4912</v>
      </c>
      <c r="G3928" t="s">
        <v>64</v>
      </c>
      <c r="H3928" t="s">
        <v>16</v>
      </c>
      <c r="I3928" t="s">
        <v>542</v>
      </c>
      <c r="J3928" t="s">
        <v>543</v>
      </c>
      <c r="K3928" t="s">
        <v>1809</v>
      </c>
      <c r="L3928" t="str">
        <f>HYPERLINK("https://business-monitor.ch/de/companies/1284451-meba-dach-gmbh?utm_source=oberaargau","PROFIL ANSEHEN")</f>
        <v>PROFIL ANSEHEN</v>
      </c>
    </row>
    <row r="3929" spans="1:12" x14ac:dyDescent="0.2">
      <c r="A3929" t="s">
        <v>6937</v>
      </c>
      <c r="B3929" t="s">
        <v>6938</v>
      </c>
      <c r="C3929" t="s">
        <v>1812</v>
      </c>
      <c r="E3929" t="s">
        <v>6245</v>
      </c>
      <c r="F3929">
        <v>3365</v>
      </c>
      <c r="G3929" t="s">
        <v>1008</v>
      </c>
      <c r="H3929" t="s">
        <v>16</v>
      </c>
      <c r="I3929" t="s">
        <v>3253</v>
      </c>
      <c r="J3929" t="s">
        <v>3254</v>
      </c>
      <c r="K3929" t="s">
        <v>1809</v>
      </c>
      <c r="L3929" t="str">
        <f>HYPERLINK("https://business-monitor.ch/de/companies/220464-fleischhandel-w-blaser?utm_source=oberaargau","PROFIL ANSEHEN")</f>
        <v>PROFIL ANSEHEN</v>
      </c>
    </row>
    <row r="3930" spans="1:12" x14ac:dyDescent="0.2">
      <c r="A3930" t="s">
        <v>1857</v>
      </c>
      <c r="B3930" t="s">
        <v>1858</v>
      </c>
      <c r="C3930" t="s">
        <v>202</v>
      </c>
      <c r="E3930" t="s">
        <v>1859</v>
      </c>
      <c r="F3930">
        <v>4900</v>
      </c>
      <c r="G3930" t="s">
        <v>41</v>
      </c>
      <c r="H3930" t="s">
        <v>16</v>
      </c>
      <c r="I3930" t="s">
        <v>1860</v>
      </c>
      <c r="J3930" t="s">
        <v>1861</v>
      </c>
      <c r="K3930" t="s">
        <v>1809</v>
      </c>
      <c r="L3930" t="str">
        <f>HYPERLINK("https://business-monitor.ch/de/companies/1065374-coiffeur-okan-gmbh?utm_source=oberaargau","PROFIL ANSEHEN")</f>
        <v>PROFIL ANSEHEN</v>
      </c>
    </row>
    <row r="3931" spans="1:12" x14ac:dyDescent="0.2">
      <c r="A3931" t="s">
        <v>9651</v>
      </c>
      <c r="B3931" t="s">
        <v>9652</v>
      </c>
      <c r="C3931" t="s">
        <v>13</v>
      </c>
      <c r="E3931" t="s">
        <v>11561</v>
      </c>
      <c r="F3931">
        <v>4900</v>
      </c>
      <c r="G3931" t="s">
        <v>41</v>
      </c>
      <c r="H3931" t="s">
        <v>16</v>
      </c>
      <c r="I3931" t="s">
        <v>4534</v>
      </c>
      <c r="J3931" t="s">
        <v>4535</v>
      </c>
      <c r="K3931" t="s">
        <v>1809</v>
      </c>
      <c r="L3931" t="str">
        <f>HYPERLINK("https://business-monitor.ch/de/companies/693254-vinaxa-ag?utm_source=oberaargau","PROFIL ANSEHEN")</f>
        <v>PROFIL ANSEHEN</v>
      </c>
    </row>
    <row r="3932" spans="1:12" x14ac:dyDescent="0.2">
      <c r="A3932" t="s">
        <v>2560</v>
      </c>
      <c r="B3932" t="s">
        <v>2561</v>
      </c>
      <c r="C3932" t="s">
        <v>84</v>
      </c>
      <c r="E3932" t="s">
        <v>2562</v>
      </c>
      <c r="F3932">
        <v>4922</v>
      </c>
      <c r="G3932" t="s">
        <v>99</v>
      </c>
      <c r="H3932" t="s">
        <v>16</v>
      </c>
      <c r="I3932" t="s">
        <v>906</v>
      </c>
      <c r="J3932" t="s">
        <v>907</v>
      </c>
      <c r="K3932" t="s">
        <v>1809</v>
      </c>
      <c r="L3932" t="str">
        <f>HYPERLINK("https://business-monitor.ch/de/companies/513233-ko-fa-genossenschaft?utm_source=oberaargau","PROFIL ANSEHEN")</f>
        <v>PROFIL ANSEHEN</v>
      </c>
    </row>
    <row r="3933" spans="1:12" x14ac:dyDescent="0.2">
      <c r="A3933" t="s">
        <v>11422</v>
      </c>
      <c r="B3933" t="s">
        <v>11423</v>
      </c>
      <c r="C3933" t="s">
        <v>2010</v>
      </c>
      <c r="E3933" t="s">
        <v>11424</v>
      </c>
      <c r="F3933">
        <v>4900</v>
      </c>
      <c r="G3933" t="s">
        <v>41</v>
      </c>
      <c r="H3933" t="s">
        <v>16</v>
      </c>
      <c r="I3933" t="s">
        <v>1818</v>
      </c>
      <c r="J3933" t="s">
        <v>1819</v>
      </c>
      <c r="K3933" t="s">
        <v>1809</v>
      </c>
      <c r="L3933" t="str">
        <f>HYPERLINK("https://business-monitor.ch/de/companies/1125407-rcversicherungen-kmg?utm_source=oberaargau","PROFIL ANSEHEN")</f>
        <v>PROFIL ANSEHEN</v>
      </c>
    </row>
    <row r="3934" spans="1:12" x14ac:dyDescent="0.2">
      <c r="A3934" t="s">
        <v>4503</v>
      </c>
      <c r="B3934" t="s">
        <v>4504</v>
      </c>
      <c r="C3934" t="s">
        <v>202</v>
      </c>
      <c r="E3934" t="s">
        <v>14617</v>
      </c>
      <c r="F3934">
        <v>4937</v>
      </c>
      <c r="G3934" t="s">
        <v>951</v>
      </c>
      <c r="H3934" t="s">
        <v>16</v>
      </c>
      <c r="I3934" t="s">
        <v>153</v>
      </c>
      <c r="J3934" t="s">
        <v>154</v>
      </c>
      <c r="K3934" t="s">
        <v>1809</v>
      </c>
      <c r="L3934" t="str">
        <f>HYPERLINK("https://business-monitor.ch/de/companies/698699-gr-solutions-gmbh?utm_source=oberaargau","PROFIL ANSEHEN")</f>
        <v>PROFIL ANSEHEN</v>
      </c>
    </row>
    <row r="3935" spans="1:12" x14ac:dyDescent="0.2">
      <c r="A3935" t="s">
        <v>7013</v>
      </c>
      <c r="B3935" t="s">
        <v>7014</v>
      </c>
      <c r="C3935" t="s">
        <v>1812</v>
      </c>
      <c r="E3935" t="s">
        <v>7015</v>
      </c>
      <c r="F3935">
        <v>4911</v>
      </c>
      <c r="G3935" t="s">
        <v>1005</v>
      </c>
      <c r="H3935" t="s">
        <v>16</v>
      </c>
      <c r="I3935" t="s">
        <v>570</v>
      </c>
      <c r="J3935" t="s">
        <v>571</v>
      </c>
      <c r="K3935" t="s">
        <v>1809</v>
      </c>
      <c r="L3935" t="str">
        <f>HYPERLINK("https://business-monitor.ch/de/companies/677102-haustechnik-bammann?utm_source=oberaargau","PROFIL ANSEHEN")</f>
        <v>PROFIL ANSEHEN</v>
      </c>
    </row>
    <row r="3936" spans="1:12" x14ac:dyDescent="0.2">
      <c r="A3936" t="s">
        <v>3707</v>
      </c>
      <c r="B3936" t="s">
        <v>10929</v>
      </c>
      <c r="C3936" t="s">
        <v>202</v>
      </c>
      <c r="E3936" t="s">
        <v>10930</v>
      </c>
      <c r="F3936">
        <v>4950</v>
      </c>
      <c r="G3936" t="s">
        <v>15</v>
      </c>
      <c r="H3936" t="s">
        <v>16</v>
      </c>
      <c r="I3936" t="s">
        <v>298</v>
      </c>
      <c r="J3936" t="s">
        <v>299</v>
      </c>
      <c r="K3936" t="s">
        <v>1809</v>
      </c>
      <c r="L3936" t="str">
        <f>HYPERLINK("https://business-monitor.ch/de/companies/18164-fritz-zuercher-gmbh?utm_source=oberaargau","PROFIL ANSEHEN")</f>
        <v>PROFIL ANSEHEN</v>
      </c>
    </row>
    <row r="3937" spans="1:12" x14ac:dyDescent="0.2">
      <c r="A3937" t="s">
        <v>5067</v>
      </c>
      <c r="B3937" t="s">
        <v>5068</v>
      </c>
      <c r="C3937" t="s">
        <v>1812</v>
      </c>
      <c r="E3937" t="s">
        <v>5069</v>
      </c>
      <c r="F3937">
        <v>3367</v>
      </c>
      <c r="G3937" t="s">
        <v>455</v>
      </c>
      <c r="H3937" t="s">
        <v>16</v>
      </c>
      <c r="I3937" t="s">
        <v>175</v>
      </c>
      <c r="J3937" t="s">
        <v>176</v>
      </c>
      <c r="K3937" t="s">
        <v>1809</v>
      </c>
      <c r="L3937" t="str">
        <f>HYPERLINK("https://business-monitor.ch/de/companies/201994-carrosserie-schaerer?utm_source=oberaargau","PROFIL ANSEHEN")</f>
        <v>PROFIL ANSEHEN</v>
      </c>
    </row>
    <row r="3938" spans="1:12" x14ac:dyDescent="0.2">
      <c r="A3938" t="s">
        <v>13731</v>
      </c>
      <c r="B3938" t="s">
        <v>13732</v>
      </c>
      <c r="C3938" t="s">
        <v>202</v>
      </c>
      <c r="E3938" t="s">
        <v>4830</v>
      </c>
      <c r="F3938">
        <v>4704</v>
      </c>
      <c r="G3938" t="s">
        <v>221</v>
      </c>
      <c r="H3938" t="s">
        <v>16</v>
      </c>
      <c r="I3938" t="s">
        <v>4308</v>
      </c>
      <c r="J3938" t="s">
        <v>4309</v>
      </c>
      <c r="K3938" t="s">
        <v>1809</v>
      </c>
      <c r="L3938" t="str">
        <f>HYPERLINK("https://business-monitor.ch/de/companies/1268021-rietmann-haushaltsgeraete-gmbh?utm_source=oberaargau","PROFIL ANSEHEN")</f>
        <v>PROFIL ANSEHEN</v>
      </c>
    </row>
    <row r="3939" spans="1:12" x14ac:dyDescent="0.2">
      <c r="A3939" t="s">
        <v>10187</v>
      </c>
      <c r="B3939" t="s">
        <v>10188</v>
      </c>
      <c r="C3939" t="s">
        <v>202</v>
      </c>
      <c r="E3939" t="s">
        <v>14363</v>
      </c>
      <c r="F3939">
        <v>3368</v>
      </c>
      <c r="G3939" t="s">
        <v>308</v>
      </c>
      <c r="H3939" t="s">
        <v>16</v>
      </c>
      <c r="I3939" t="s">
        <v>679</v>
      </c>
      <c r="J3939" t="s">
        <v>680</v>
      </c>
      <c r="K3939" t="s">
        <v>1809</v>
      </c>
      <c r="L3939" t="str">
        <f>HYPERLINK("https://business-monitor.ch/de/companies/633359-huerzeler-holz-kunststoffbau-gmbh?utm_source=oberaargau","PROFIL ANSEHEN")</f>
        <v>PROFIL ANSEHEN</v>
      </c>
    </row>
    <row r="3940" spans="1:12" x14ac:dyDescent="0.2">
      <c r="A3940" t="s">
        <v>5293</v>
      </c>
      <c r="B3940" t="s">
        <v>5294</v>
      </c>
      <c r="C3940" t="s">
        <v>2178</v>
      </c>
      <c r="E3940" t="s">
        <v>5295</v>
      </c>
      <c r="F3940">
        <v>4912</v>
      </c>
      <c r="G3940" t="s">
        <v>64</v>
      </c>
      <c r="H3940" t="s">
        <v>16</v>
      </c>
      <c r="I3940" t="s">
        <v>1350</v>
      </c>
      <c r="J3940" t="s">
        <v>1351</v>
      </c>
      <c r="K3940" t="s">
        <v>1809</v>
      </c>
      <c r="L3940" t="str">
        <f>HYPERLINK("https://business-monitor.ch/de/companies/513779-elmar-roehner-ag?utm_source=oberaargau","PROFIL ANSEHEN")</f>
        <v>PROFIL ANSEHEN</v>
      </c>
    </row>
    <row r="3941" spans="1:12" x14ac:dyDescent="0.2">
      <c r="A3941" t="s">
        <v>13460</v>
      </c>
      <c r="B3941" t="s">
        <v>13461</v>
      </c>
      <c r="C3941" t="s">
        <v>202</v>
      </c>
      <c r="E3941" t="s">
        <v>13462</v>
      </c>
      <c r="F3941">
        <v>4900</v>
      </c>
      <c r="G3941" t="s">
        <v>41</v>
      </c>
      <c r="H3941" t="s">
        <v>16</v>
      </c>
      <c r="I3941" t="s">
        <v>1936</v>
      </c>
      <c r="J3941" t="s">
        <v>1937</v>
      </c>
      <c r="K3941" t="s">
        <v>1809</v>
      </c>
      <c r="L3941" t="str">
        <f>HYPERLINK("https://business-monitor.ch/de/companies/1246107-consilium-et-evolutio-gmbh?utm_source=oberaargau","PROFIL ANSEHEN")</f>
        <v>PROFIL ANSEHEN</v>
      </c>
    </row>
    <row r="3942" spans="1:12" x14ac:dyDescent="0.2">
      <c r="A3942" t="s">
        <v>8249</v>
      </c>
      <c r="B3942" t="s">
        <v>8250</v>
      </c>
      <c r="C3942" t="s">
        <v>202</v>
      </c>
      <c r="E3942" t="s">
        <v>8251</v>
      </c>
      <c r="F3942">
        <v>4922</v>
      </c>
      <c r="G3942" t="s">
        <v>99</v>
      </c>
      <c r="H3942" t="s">
        <v>16</v>
      </c>
      <c r="I3942" t="s">
        <v>77</v>
      </c>
      <c r="J3942" t="s">
        <v>78</v>
      </c>
      <c r="K3942" t="s">
        <v>1809</v>
      </c>
      <c r="L3942" t="str">
        <f>HYPERLINK("https://business-monitor.ch/de/companies/1084673-luximmo-gmbh?utm_source=oberaargau","PROFIL ANSEHEN")</f>
        <v>PROFIL ANSEHEN</v>
      </c>
    </row>
    <row r="3943" spans="1:12" x14ac:dyDescent="0.2">
      <c r="A3943" t="s">
        <v>7878</v>
      </c>
      <c r="B3943" t="s">
        <v>7879</v>
      </c>
      <c r="C3943" t="s">
        <v>1812</v>
      </c>
      <c r="E3943" t="s">
        <v>7880</v>
      </c>
      <c r="F3943">
        <v>4933</v>
      </c>
      <c r="G3943" t="s">
        <v>3812</v>
      </c>
      <c r="H3943" t="s">
        <v>16</v>
      </c>
      <c r="I3943" t="s">
        <v>551</v>
      </c>
      <c r="J3943" t="s">
        <v>552</v>
      </c>
      <c r="K3943" t="s">
        <v>1809</v>
      </c>
      <c r="L3943" t="str">
        <f>HYPERLINK("https://business-monitor.ch/de/companies/267436-nyfeler-consulting?utm_source=oberaargau","PROFIL ANSEHEN")</f>
        <v>PROFIL ANSEHEN</v>
      </c>
    </row>
    <row r="3944" spans="1:12" x14ac:dyDescent="0.2">
      <c r="A3944" t="s">
        <v>6417</v>
      </c>
      <c r="B3944" t="s">
        <v>6418</v>
      </c>
      <c r="C3944" t="s">
        <v>202</v>
      </c>
      <c r="E3944" t="s">
        <v>4104</v>
      </c>
      <c r="F3944">
        <v>3362</v>
      </c>
      <c r="G3944" t="s">
        <v>47</v>
      </c>
      <c r="H3944" t="s">
        <v>16</v>
      </c>
      <c r="I3944" t="s">
        <v>91</v>
      </c>
      <c r="J3944" t="s">
        <v>92</v>
      </c>
      <c r="K3944" t="s">
        <v>1809</v>
      </c>
      <c r="L3944" t="str">
        <f>HYPERLINK("https://business-monitor.ch/de/companies/285665-rs-export-services-gmbh?utm_source=oberaargau","PROFIL ANSEHEN")</f>
        <v>PROFIL ANSEHEN</v>
      </c>
    </row>
    <row r="3945" spans="1:12" x14ac:dyDescent="0.2">
      <c r="A3945" t="s">
        <v>11812</v>
      </c>
      <c r="B3945" t="s">
        <v>11813</v>
      </c>
      <c r="C3945" t="s">
        <v>1812</v>
      </c>
      <c r="E3945" t="s">
        <v>11814</v>
      </c>
      <c r="F3945">
        <v>4932</v>
      </c>
      <c r="G3945" t="s">
        <v>325</v>
      </c>
      <c r="H3945" t="s">
        <v>16</v>
      </c>
      <c r="I3945" t="s">
        <v>1852</v>
      </c>
      <c r="J3945" t="s">
        <v>1853</v>
      </c>
      <c r="K3945" t="s">
        <v>1809</v>
      </c>
      <c r="L3945" t="str">
        <f>HYPERLINK("https://business-monitor.ch/de/companies/1149851-allround-service-tschumi?utm_source=oberaargau","PROFIL ANSEHEN")</f>
        <v>PROFIL ANSEHEN</v>
      </c>
    </row>
    <row r="3946" spans="1:12" x14ac:dyDescent="0.2">
      <c r="A3946" t="s">
        <v>3455</v>
      </c>
      <c r="B3946" t="s">
        <v>3456</v>
      </c>
      <c r="C3946" t="s">
        <v>13</v>
      </c>
      <c r="E3946" t="s">
        <v>578</v>
      </c>
      <c r="F3946">
        <v>4704</v>
      </c>
      <c r="G3946" t="s">
        <v>221</v>
      </c>
      <c r="H3946" t="s">
        <v>16</v>
      </c>
      <c r="I3946" t="s">
        <v>2522</v>
      </c>
      <c r="J3946" t="s">
        <v>2523</v>
      </c>
      <c r="K3946" t="s">
        <v>1809</v>
      </c>
      <c r="L3946" t="str">
        <f>HYPERLINK("https://business-monitor.ch/de/companies/173621-gabi-bipp-ag?utm_source=oberaargau","PROFIL ANSEHEN")</f>
        <v>PROFIL ANSEHEN</v>
      </c>
    </row>
    <row r="3947" spans="1:12" x14ac:dyDescent="0.2">
      <c r="A3947" t="s">
        <v>11049</v>
      </c>
      <c r="B3947" t="s">
        <v>11050</v>
      </c>
      <c r="C3947" t="s">
        <v>2178</v>
      </c>
      <c r="D3947" t="s">
        <v>11051</v>
      </c>
      <c r="E3947" t="s">
        <v>6931</v>
      </c>
      <c r="F3947">
        <v>4924</v>
      </c>
      <c r="G3947" t="s">
        <v>3727</v>
      </c>
      <c r="H3947" t="s">
        <v>16</v>
      </c>
      <c r="I3947" t="s">
        <v>1970</v>
      </c>
      <c r="J3947" t="s">
        <v>1971</v>
      </c>
      <c r="K3947" t="s">
        <v>1809</v>
      </c>
      <c r="L3947" t="str">
        <f>HYPERLINK("https://business-monitor.ch/de/companies/1119450-simec-service-gmbh?utm_source=oberaargau","PROFIL ANSEHEN")</f>
        <v>PROFIL ANSEHEN</v>
      </c>
    </row>
    <row r="3948" spans="1:12" x14ac:dyDescent="0.2">
      <c r="A3948" t="s">
        <v>14618</v>
      </c>
      <c r="B3948" t="s">
        <v>14413</v>
      </c>
      <c r="C3948" t="s">
        <v>2178</v>
      </c>
      <c r="E3948" t="s">
        <v>14619</v>
      </c>
      <c r="F3948">
        <v>3360</v>
      </c>
      <c r="G3948" t="s">
        <v>35</v>
      </c>
      <c r="H3948" t="s">
        <v>16</v>
      </c>
      <c r="I3948" t="s">
        <v>134</v>
      </c>
      <c r="J3948" t="s">
        <v>135</v>
      </c>
      <c r="K3948" t="s">
        <v>1809</v>
      </c>
      <c r="L3948" t="str">
        <f>HYPERLINK("https://business-monitor.ch/de/companies/1307691-ckw-gebaeudetechnik-ag?utm_source=oberaargau","PROFIL ANSEHEN")</f>
        <v>PROFIL ANSEHEN</v>
      </c>
    </row>
    <row r="3949" spans="1:12" x14ac:dyDescent="0.2">
      <c r="A3949" t="s">
        <v>14347</v>
      </c>
      <c r="B3949" t="s">
        <v>14348</v>
      </c>
      <c r="C3949" t="s">
        <v>202</v>
      </c>
      <c r="E3949" t="s">
        <v>5440</v>
      </c>
      <c r="F3949">
        <v>4912</v>
      </c>
      <c r="G3949" t="s">
        <v>64</v>
      </c>
      <c r="H3949" t="s">
        <v>16</v>
      </c>
      <c r="I3949" t="s">
        <v>733</v>
      </c>
      <c r="J3949" t="s">
        <v>734</v>
      </c>
      <c r="K3949" t="s">
        <v>1809</v>
      </c>
      <c r="L3949" t="str">
        <f>HYPERLINK("https://business-monitor.ch/de/companies/1238392-royal-premium-cars-gmbh?utm_source=oberaargau","PROFIL ANSEHEN")</f>
        <v>PROFIL ANSEHEN</v>
      </c>
    </row>
    <row r="3950" spans="1:12" x14ac:dyDescent="0.2">
      <c r="A3950" t="s">
        <v>14620</v>
      </c>
      <c r="B3950" t="s">
        <v>14413</v>
      </c>
      <c r="C3950" t="s">
        <v>2178</v>
      </c>
      <c r="E3950" t="s">
        <v>5711</v>
      </c>
      <c r="F3950">
        <v>4900</v>
      </c>
      <c r="G3950" t="s">
        <v>41</v>
      </c>
      <c r="H3950" t="s">
        <v>16</v>
      </c>
      <c r="I3950" t="s">
        <v>134</v>
      </c>
      <c r="J3950" t="s">
        <v>135</v>
      </c>
      <c r="K3950" t="s">
        <v>1809</v>
      </c>
      <c r="L3950" t="str">
        <f>HYPERLINK("https://business-monitor.ch/de/companies/1307525-ckw-gebaeudetechnik-ag?utm_source=oberaargau","PROFIL ANSEHEN")</f>
        <v>PROFIL ANSEHEN</v>
      </c>
    </row>
    <row r="3951" spans="1:12" x14ac:dyDescent="0.2">
      <c r="A3951" t="s">
        <v>13539</v>
      </c>
      <c r="B3951" t="s">
        <v>13540</v>
      </c>
      <c r="C3951" t="s">
        <v>202</v>
      </c>
      <c r="E3951" t="s">
        <v>14621</v>
      </c>
      <c r="F3951">
        <v>4912</v>
      </c>
      <c r="G3951" t="s">
        <v>64</v>
      </c>
      <c r="H3951" t="s">
        <v>16</v>
      </c>
      <c r="I3951" t="s">
        <v>642</v>
      </c>
      <c r="J3951" t="s">
        <v>643</v>
      </c>
      <c r="K3951" t="s">
        <v>1809</v>
      </c>
      <c r="L3951" t="str">
        <f>HYPERLINK("https://business-monitor.ch/de/companies/1268003-auto-aarwangen-gmbh?utm_source=oberaargau","PROFIL ANSEHEN")</f>
        <v>PROFIL ANSEHEN</v>
      </c>
    </row>
    <row r="3952" spans="1:12" x14ac:dyDescent="0.2">
      <c r="A3952" t="s">
        <v>10106</v>
      </c>
      <c r="B3952" t="s">
        <v>10107</v>
      </c>
      <c r="C3952" t="s">
        <v>13</v>
      </c>
      <c r="E3952" t="s">
        <v>3525</v>
      </c>
      <c r="F3952">
        <v>4914</v>
      </c>
      <c r="G3952" t="s">
        <v>105</v>
      </c>
      <c r="H3952" t="s">
        <v>16</v>
      </c>
      <c r="I3952" t="s">
        <v>186</v>
      </c>
      <c r="J3952" t="s">
        <v>187</v>
      </c>
      <c r="K3952" t="s">
        <v>1809</v>
      </c>
      <c r="L3952" t="str">
        <f>HYPERLINK("https://business-monitor.ch/de/companies/672687-steiner-beteiligungen-ag?utm_source=oberaargau","PROFIL ANSEHEN")</f>
        <v>PROFIL ANSEHEN</v>
      </c>
    </row>
    <row r="3953" spans="1:12" x14ac:dyDescent="0.2">
      <c r="A3953" t="s">
        <v>12883</v>
      </c>
      <c r="B3953" t="s">
        <v>13667</v>
      </c>
      <c r="C3953" t="s">
        <v>1812</v>
      </c>
      <c r="D3953" t="s">
        <v>12884</v>
      </c>
      <c r="E3953" t="s">
        <v>12885</v>
      </c>
      <c r="F3953">
        <v>4900</v>
      </c>
      <c r="G3953" t="s">
        <v>41</v>
      </c>
      <c r="H3953" t="s">
        <v>16</v>
      </c>
      <c r="I3953" t="s">
        <v>1097</v>
      </c>
      <c r="J3953" t="s">
        <v>1098</v>
      </c>
      <c r="K3953" t="s">
        <v>1809</v>
      </c>
      <c r="L3953" t="str">
        <f>HYPERLINK("https://business-monitor.ch/de/companies/1223928-klein-select?utm_source=oberaargau","PROFIL ANSEHEN")</f>
        <v>PROFIL ANSEHEN</v>
      </c>
    </row>
    <row r="3954" spans="1:12" x14ac:dyDescent="0.2">
      <c r="A3954" t="s">
        <v>11921</v>
      </c>
      <c r="B3954" t="s">
        <v>11922</v>
      </c>
      <c r="C3954" t="s">
        <v>1812</v>
      </c>
      <c r="E3954" t="s">
        <v>4158</v>
      </c>
      <c r="F3954">
        <v>4923</v>
      </c>
      <c r="G3954" t="s">
        <v>732</v>
      </c>
      <c r="H3954" t="s">
        <v>16</v>
      </c>
      <c r="I3954" t="s">
        <v>824</v>
      </c>
      <c r="J3954" t="s">
        <v>825</v>
      </c>
      <c r="K3954" t="s">
        <v>1809</v>
      </c>
      <c r="L3954" t="str">
        <f>HYPERLINK("https://business-monitor.ch/de/companies/1173365-wynau-pizza-hussein?utm_source=oberaargau","PROFIL ANSEHEN")</f>
        <v>PROFIL ANSEHEN</v>
      </c>
    </row>
    <row r="3955" spans="1:12" x14ac:dyDescent="0.2">
      <c r="A3955" t="s">
        <v>7869</v>
      </c>
      <c r="B3955" t="s">
        <v>7870</v>
      </c>
      <c r="C3955" t="s">
        <v>1827</v>
      </c>
      <c r="E3955" t="s">
        <v>7871</v>
      </c>
      <c r="F3955">
        <v>4537</v>
      </c>
      <c r="G3955" t="s">
        <v>113</v>
      </c>
      <c r="H3955" t="s">
        <v>16</v>
      </c>
      <c r="I3955" t="s">
        <v>2231</v>
      </c>
      <c r="J3955" t="s">
        <v>2232</v>
      </c>
      <c r="K3955" t="s">
        <v>1809</v>
      </c>
      <c r="L3955" t="str">
        <f>HYPERLINK("https://business-monitor.ch/de/companies/234447-rudolf-kopp-co?utm_source=oberaargau","PROFIL ANSEHEN")</f>
        <v>PROFIL ANSEHEN</v>
      </c>
    </row>
    <row r="3956" spans="1:12" x14ac:dyDescent="0.2">
      <c r="A3956" t="s">
        <v>12378</v>
      </c>
      <c r="B3956" t="s">
        <v>12379</v>
      </c>
      <c r="C3956" t="s">
        <v>1812</v>
      </c>
      <c r="E3956" t="s">
        <v>5312</v>
      </c>
      <c r="F3956">
        <v>4900</v>
      </c>
      <c r="G3956" t="s">
        <v>41</v>
      </c>
      <c r="H3956" t="s">
        <v>16</v>
      </c>
      <c r="I3956" t="s">
        <v>289</v>
      </c>
      <c r="J3956" t="s">
        <v>290</v>
      </c>
      <c r="K3956" t="s">
        <v>1809</v>
      </c>
      <c r="L3956" t="str">
        <f>HYPERLINK("https://business-monitor.ch/de/companies/1195558-portner-abdichtungen?utm_source=oberaargau","PROFIL ANSEHEN")</f>
        <v>PROFIL ANSEHEN</v>
      </c>
    </row>
    <row r="3957" spans="1:12" x14ac:dyDescent="0.2">
      <c r="A3957" t="s">
        <v>13532</v>
      </c>
      <c r="B3957" t="s">
        <v>13533</v>
      </c>
      <c r="C3957" t="s">
        <v>1812</v>
      </c>
      <c r="E3957" t="s">
        <v>10724</v>
      </c>
      <c r="F3957">
        <v>4900</v>
      </c>
      <c r="G3957" t="s">
        <v>41</v>
      </c>
      <c r="H3957" t="s">
        <v>16</v>
      </c>
      <c r="I3957" t="s">
        <v>824</v>
      </c>
      <c r="J3957" t="s">
        <v>825</v>
      </c>
      <c r="K3957" t="s">
        <v>1809</v>
      </c>
      <c r="L3957" t="str">
        <f>HYPERLINK("https://business-monitor.ch/de/companies/1263482-presto-pizza-oyman?utm_source=oberaargau","PROFIL ANSEHEN")</f>
        <v>PROFIL ANSEHEN</v>
      </c>
    </row>
    <row r="3958" spans="1:12" x14ac:dyDescent="0.2">
      <c r="A3958" t="s">
        <v>14060</v>
      </c>
      <c r="B3958" t="s">
        <v>14061</v>
      </c>
      <c r="C3958" t="s">
        <v>202</v>
      </c>
      <c r="E3958" t="s">
        <v>14062</v>
      </c>
      <c r="F3958">
        <v>4934</v>
      </c>
      <c r="G3958" t="s">
        <v>670</v>
      </c>
      <c r="H3958" t="s">
        <v>16</v>
      </c>
      <c r="I3958" t="s">
        <v>7154</v>
      </c>
      <c r="J3958" t="s">
        <v>7155</v>
      </c>
      <c r="K3958" t="s">
        <v>1809</v>
      </c>
      <c r="L3958" t="str">
        <f>HYPERLINK("https://business-monitor.ch/de/companies/1274332-jk-boote-gmbh?utm_source=oberaargau","PROFIL ANSEHEN")</f>
        <v>PROFIL ANSEHEN</v>
      </c>
    </row>
    <row r="3959" spans="1:12" x14ac:dyDescent="0.2">
      <c r="A3959" t="s">
        <v>14021</v>
      </c>
      <c r="B3959" t="s">
        <v>14022</v>
      </c>
      <c r="C3959" t="s">
        <v>13</v>
      </c>
      <c r="E3959" t="s">
        <v>11734</v>
      </c>
      <c r="F3959">
        <v>4704</v>
      </c>
      <c r="G3959" t="s">
        <v>221</v>
      </c>
      <c r="H3959" t="s">
        <v>16</v>
      </c>
      <c r="I3959" t="s">
        <v>1852</v>
      </c>
      <c r="J3959" t="s">
        <v>1853</v>
      </c>
      <c r="K3959" t="s">
        <v>1809</v>
      </c>
      <c r="L3959" t="str">
        <f>HYPERLINK("https://business-monitor.ch/de/companies/1275266-bamert-tech-solutions-ag?utm_source=oberaargau","PROFIL ANSEHEN")</f>
        <v>PROFIL ANSEHEN</v>
      </c>
    </row>
    <row r="3960" spans="1:12" x14ac:dyDescent="0.2">
      <c r="A3960" t="s">
        <v>2363</v>
      </c>
      <c r="B3960" t="s">
        <v>2364</v>
      </c>
      <c r="C3960" t="s">
        <v>84</v>
      </c>
      <c r="D3960" t="s">
        <v>9424</v>
      </c>
      <c r="E3960" t="s">
        <v>2607</v>
      </c>
      <c r="F3960">
        <v>4539</v>
      </c>
      <c r="G3960" t="s">
        <v>23</v>
      </c>
      <c r="H3960" t="s">
        <v>16</v>
      </c>
      <c r="I3960" t="s">
        <v>2365</v>
      </c>
      <c r="J3960" t="s">
        <v>2366</v>
      </c>
      <c r="K3960" t="s">
        <v>1809</v>
      </c>
      <c r="L3960" t="str">
        <f>HYPERLINK("https://business-monitor.ch/de/companies/147846-alpgenossenschaft-stierenberg-farnern?utm_source=oberaargau","PROFIL ANSEHEN")</f>
        <v>PROFIL ANSEHEN</v>
      </c>
    </row>
    <row r="3961" spans="1:12" x14ac:dyDescent="0.2">
      <c r="A3961" t="s">
        <v>11023</v>
      </c>
      <c r="B3961" t="s">
        <v>11024</v>
      </c>
      <c r="C3961" t="s">
        <v>202</v>
      </c>
      <c r="D3961" t="s">
        <v>11025</v>
      </c>
      <c r="E3961" t="s">
        <v>11026</v>
      </c>
      <c r="F3961">
        <v>4900</v>
      </c>
      <c r="G3961" t="s">
        <v>41</v>
      </c>
      <c r="H3961" t="s">
        <v>16</v>
      </c>
      <c r="I3961" t="s">
        <v>935</v>
      </c>
      <c r="J3961" t="s">
        <v>936</v>
      </c>
      <c r="K3961" t="s">
        <v>1809</v>
      </c>
      <c r="L3961" t="str">
        <f>HYPERLINK("https://business-monitor.ch/de/companies/1120611-dach-gmbh?utm_source=oberaargau","PROFIL ANSEHEN")</f>
        <v>PROFIL ANSEHEN</v>
      </c>
    </row>
    <row r="3962" spans="1:12" x14ac:dyDescent="0.2">
      <c r="A3962" t="s">
        <v>9386</v>
      </c>
      <c r="B3962" t="s">
        <v>9387</v>
      </c>
      <c r="C3962" t="s">
        <v>13</v>
      </c>
      <c r="E3962" t="s">
        <v>9215</v>
      </c>
      <c r="F3962">
        <v>4923</v>
      </c>
      <c r="G3962" t="s">
        <v>732</v>
      </c>
      <c r="H3962" t="s">
        <v>16</v>
      </c>
      <c r="I3962" t="s">
        <v>304</v>
      </c>
      <c r="J3962" t="s">
        <v>305</v>
      </c>
      <c r="K3962" t="s">
        <v>1809</v>
      </c>
      <c r="L3962" t="str">
        <f>HYPERLINK("https://business-monitor.ch/de/companies/62051-kuenzli-kraftwerk-ag?utm_source=oberaargau","PROFIL ANSEHEN")</f>
        <v>PROFIL ANSEHEN</v>
      </c>
    </row>
    <row r="3963" spans="1:12" x14ac:dyDescent="0.2">
      <c r="A3963" t="s">
        <v>9099</v>
      </c>
      <c r="B3963" t="s">
        <v>13221</v>
      </c>
      <c r="C3963" t="s">
        <v>13</v>
      </c>
      <c r="E3963" t="s">
        <v>9101</v>
      </c>
      <c r="F3963">
        <v>3362</v>
      </c>
      <c r="G3963" t="s">
        <v>47</v>
      </c>
      <c r="H3963" t="s">
        <v>16</v>
      </c>
      <c r="I3963" t="s">
        <v>331</v>
      </c>
      <c r="J3963" t="s">
        <v>332</v>
      </c>
      <c r="K3963" t="s">
        <v>1809</v>
      </c>
      <c r="L3963" t="str">
        <f>HYPERLINK("https://business-monitor.ch/de/companies/173754-holu-immobilien-ag?utm_source=oberaargau","PROFIL ANSEHEN")</f>
        <v>PROFIL ANSEHEN</v>
      </c>
    </row>
    <row r="3964" spans="1:12" x14ac:dyDescent="0.2">
      <c r="A3964" t="s">
        <v>4048</v>
      </c>
      <c r="B3964" t="s">
        <v>4049</v>
      </c>
      <c r="C3964" t="s">
        <v>2178</v>
      </c>
      <c r="E3964" t="s">
        <v>2538</v>
      </c>
      <c r="F3964">
        <v>4900</v>
      </c>
      <c r="G3964" t="s">
        <v>41</v>
      </c>
      <c r="H3964" t="s">
        <v>16</v>
      </c>
      <c r="I3964" t="s">
        <v>642</v>
      </c>
      <c r="J3964" t="s">
        <v>643</v>
      </c>
      <c r="K3964" t="s">
        <v>1809</v>
      </c>
      <c r="L3964" t="str">
        <f>HYPERLINK("https://business-monitor.ch/de/companies/657938-garage-luethi-ag-hermiswil-zweigniederlassung-langenthal?utm_source=oberaargau","PROFIL ANSEHEN")</f>
        <v>PROFIL ANSEHEN</v>
      </c>
    </row>
    <row r="3965" spans="1:12" x14ac:dyDescent="0.2">
      <c r="A3965" t="s">
        <v>2752</v>
      </c>
      <c r="B3965" t="s">
        <v>2753</v>
      </c>
      <c r="C3965" t="s">
        <v>13</v>
      </c>
      <c r="E3965" t="s">
        <v>2754</v>
      </c>
      <c r="F3965">
        <v>4913</v>
      </c>
      <c r="G3965" t="s">
        <v>207</v>
      </c>
      <c r="H3965" t="s">
        <v>16</v>
      </c>
      <c r="I3965" t="s">
        <v>723</v>
      </c>
      <c r="J3965" t="s">
        <v>724</v>
      </c>
      <c r="K3965" t="s">
        <v>1809</v>
      </c>
      <c r="L3965" t="str">
        <f>HYPERLINK("https://business-monitor.ch/de/companies/448140-anywood-ag?utm_source=oberaargau","PROFIL ANSEHEN")</f>
        <v>PROFIL ANSEHEN</v>
      </c>
    </row>
    <row r="3966" spans="1:12" x14ac:dyDescent="0.2">
      <c r="A3966" t="s">
        <v>6016</v>
      </c>
      <c r="B3966" t="s">
        <v>6017</v>
      </c>
      <c r="C3966" t="s">
        <v>13</v>
      </c>
      <c r="E3966" t="s">
        <v>6018</v>
      </c>
      <c r="F3966">
        <v>4900</v>
      </c>
      <c r="G3966" t="s">
        <v>41</v>
      </c>
      <c r="H3966" t="s">
        <v>16</v>
      </c>
      <c r="I3966" t="s">
        <v>854</v>
      </c>
      <c r="J3966" t="s">
        <v>855</v>
      </c>
      <c r="K3966" t="s">
        <v>1809</v>
      </c>
      <c r="L3966" t="str">
        <f>HYPERLINK("https://business-monitor.ch/de/companies/61090-rudolph-ag?utm_source=oberaargau","PROFIL ANSEHEN")</f>
        <v>PROFIL ANSEHEN</v>
      </c>
    </row>
    <row r="3967" spans="1:12" x14ac:dyDescent="0.2">
      <c r="A3967" t="s">
        <v>3261</v>
      </c>
      <c r="B3967" t="s">
        <v>3262</v>
      </c>
      <c r="C3967" t="s">
        <v>1812</v>
      </c>
      <c r="E3967" t="s">
        <v>3263</v>
      </c>
      <c r="F3967">
        <v>4922</v>
      </c>
      <c r="G3967" t="s">
        <v>99</v>
      </c>
      <c r="H3967" t="s">
        <v>16</v>
      </c>
      <c r="I3967" t="s">
        <v>2825</v>
      </c>
      <c r="J3967" t="s">
        <v>2826</v>
      </c>
      <c r="K3967" t="s">
        <v>1809</v>
      </c>
      <c r="L3967" t="str">
        <f>HYPERLINK("https://business-monitor.ch/de/companies/251220-andreas-kohler?utm_source=oberaargau","PROFIL ANSEHEN")</f>
        <v>PROFIL ANSEHEN</v>
      </c>
    </row>
    <row r="3968" spans="1:12" x14ac:dyDescent="0.2">
      <c r="A3968" t="s">
        <v>2121</v>
      </c>
      <c r="B3968" t="s">
        <v>2122</v>
      </c>
      <c r="C3968" t="s">
        <v>1812</v>
      </c>
      <c r="E3968" t="s">
        <v>14622</v>
      </c>
      <c r="F3968">
        <v>4952</v>
      </c>
      <c r="G3968" t="s">
        <v>474</v>
      </c>
      <c r="H3968" t="s">
        <v>16</v>
      </c>
      <c r="I3968" t="s">
        <v>2123</v>
      </c>
      <c r="J3968" t="s">
        <v>2124</v>
      </c>
      <c r="K3968" t="s">
        <v>1809</v>
      </c>
      <c r="L3968" t="str">
        <f>HYPERLINK("https://business-monitor.ch/de/companies/25788-zaugg-air-ballonfahrten?utm_source=oberaargau","PROFIL ANSEHEN")</f>
        <v>PROFIL ANSEHEN</v>
      </c>
    </row>
    <row r="3969" spans="1:12" x14ac:dyDescent="0.2">
      <c r="A3969" t="s">
        <v>3434</v>
      </c>
      <c r="B3969" t="s">
        <v>5556</v>
      </c>
      <c r="C3969" t="s">
        <v>13</v>
      </c>
      <c r="E3969" t="s">
        <v>2974</v>
      </c>
      <c r="F3969">
        <v>4900</v>
      </c>
      <c r="G3969" t="s">
        <v>41</v>
      </c>
      <c r="H3969" t="s">
        <v>16</v>
      </c>
      <c r="I3969" t="s">
        <v>65</v>
      </c>
      <c r="J3969" t="s">
        <v>66</v>
      </c>
      <c r="K3969" t="s">
        <v>1809</v>
      </c>
      <c r="L3969" t="str">
        <f>HYPERLINK("https://business-monitor.ch/de/companies/171646-schaer-leuenberger-schaltanlagen-ag?utm_source=oberaargau","PROFIL ANSEHEN")</f>
        <v>PROFIL ANSEHEN</v>
      </c>
    </row>
    <row r="3970" spans="1:12" x14ac:dyDescent="0.2">
      <c r="A3970" t="s">
        <v>3432</v>
      </c>
      <c r="B3970" t="s">
        <v>9056</v>
      </c>
      <c r="C3970" t="s">
        <v>1812</v>
      </c>
      <c r="E3970" t="s">
        <v>9057</v>
      </c>
      <c r="F3970">
        <v>4900</v>
      </c>
      <c r="G3970" t="s">
        <v>41</v>
      </c>
      <c r="H3970" t="s">
        <v>16</v>
      </c>
      <c r="I3970" t="s">
        <v>153</v>
      </c>
      <c r="J3970" t="s">
        <v>154</v>
      </c>
      <c r="K3970" t="s">
        <v>1809</v>
      </c>
      <c r="L3970" t="str">
        <f>HYPERLINK("https://business-monitor.ch/de/companies/197235-juerg-rodel-ingenieurbuero-fuer-elektronik?utm_source=oberaargau","PROFIL ANSEHEN")</f>
        <v>PROFIL ANSEHEN</v>
      </c>
    </row>
    <row r="3971" spans="1:12" x14ac:dyDescent="0.2">
      <c r="A3971" t="s">
        <v>13389</v>
      </c>
      <c r="B3971" t="s">
        <v>13390</v>
      </c>
      <c r="C3971" t="s">
        <v>1812</v>
      </c>
      <c r="E3971" t="s">
        <v>13391</v>
      </c>
      <c r="F3971">
        <v>4923</v>
      </c>
      <c r="G3971" t="s">
        <v>732</v>
      </c>
      <c r="H3971" t="s">
        <v>16</v>
      </c>
      <c r="I3971" t="s">
        <v>1981</v>
      </c>
      <c r="J3971" t="s">
        <v>1982</v>
      </c>
      <c r="K3971" t="s">
        <v>1809</v>
      </c>
      <c r="L3971" t="str">
        <f>HYPERLINK("https://business-monitor.ch/de/companies/1248749-juwelier-birchler?utm_source=oberaargau","PROFIL ANSEHEN")</f>
        <v>PROFIL ANSEHEN</v>
      </c>
    </row>
    <row r="3972" spans="1:12" x14ac:dyDescent="0.2">
      <c r="A3972" t="s">
        <v>7413</v>
      </c>
      <c r="B3972" t="s">
        <v>7414</v>
      </c>
      <c r="C3972" t="s">
        <v>13</v>
      </c>
      <c r="E3972" t="s">
        <v>2634</v>
      </c>
      <c r="F3972">
        <v>4932</v>
      </c>
      <c r="G3972" t="s">
        <v>325</v>
      </c>
      <c r="H3972" t="s">
        <v>16</v>
      </c>
      <c r="I3972" t="s">
        <v>1865</v>
      </c>
      <c r="J3972" t="s">
        <v>1866</v>
      </c>
      <c r="K3972" t="s">
        <v>1809</v>
      </c>
      <c r="L3972" t="str">
        <f>HYPERLINK("https://business-monitor.ch/de/companies/958110-beundenrainpark-ag?utm_source=oberaargau","PROFIL ANSEHEN")</f>
        <v>PROFIL ANSEHEN</v>
      </c>
    </row>
    <row r="3973" spans="1:12" x14ac:dyDescent="0.2">
      <c r="A3973" t="s">
        <v>4949</v>
      </c>
      <c r="B3973" t="s">
        <v>4950</v>
      </c>
      <c r="C3973" t="s">
        <v>202</v>
      </c>
      <c r="E3973" t="s">
        <v>4951</v>
      </c>
      <c r="F3973">
        <v>3375</v>
      </c>
      <c r="G3973" t="s">
        <v>667</v>
      </c>
      <c r="H3973" t="s">
        <v>16</v>
      </c>
      <c r="I3973" t="s">
        <v>24</v>
      </c>
      <c r="J3973" t="s">
        <v>25</v>
      </c>
      <c r="K3973" t="s">
        <v>1809</v>
      </c>
      <c r="L3973" t="str">
        <f>HYPERLINK("https://business-monitor.ch/de/companies/225895-metamatics-gmbh?utm_source=oberaargau","PROFIL ANSEHEN")</f>
        <v>PROFIL ANSEHEN</v>
      </c>
    </row>
    <row r="3974" spans="1:12" x14ac:dyDescent="0.2">
      <c r="A3974" t="s">
        <v>7572</v>
      </c>
      <c r="B3974" t="s">
        <v>7573</v>
      </c>
      <c r="C3974" t="s">
        <v>202</v>
      </c>
      <c r="E3974" t="s">
        <v>7574</v>
      </c>
      <c r="F3974">
        <v>4900</v>
      </c>
      <c r="G3974" t="s">
        <v>41</v>
      </c>
      <c r="H3974" t="s">
        <v>16</v>
      </c>
      <c r="I3974" t="s">
        <v>596</v>
      </c>
      <c r="J3974" t="s">
        <v>597</v>
      </c>
      <c r="K3974" t="s">
        <v>1809</v>
      </c>
      <c r="L3974" t="str">
        <f>HYPERLINK("https://business-monitor.ch/de/companies/688542-grossenbacher-weine-gmbh?utm_source=oberaargau","PROFIL ANSEHEN")</f>
        <v>PROFIL ANSEHEN</v>
      </c>
    </row>
    <row r="3975" spans="1:12" x14ac:dyDescent="0.2">
      <c r="A3975" t="s">
        <v>10172</v>
      </c>
      <c r="B3975" t="s">
        <v>10173</v>
      </c>
      <c r="C3975" t="s">
        <v>1812</v>
      </c>
      <c r="E3975" t="s">
        <v>3301</v>
      </c>
      <c r="F3975">
        <v>4935</v>
      </c>
      <c r="G3975" t="s">
        <v>443</v>
      </c>
      <c r="H3975" t="s">
        <v>16</v>
      </c>
      <c r="I3975" t="s">
        <v>4534</v>
      </c>
      <c r="J3975" t="s">
        <v>4535</v>
      </c>
      <c r="K3975" t="s">
        <v>1809</v>
      </c>
      <c r="L3975" t="str">
        <f>HYPERLINK("https://business-monitor.ch/de/companies/640817-bellbird-miriam-hallauer?utm_source=oberaargau","PROFIL ANSEHEN")</f>
        <v>PROFIL ANSEHEN</v>
      </c>
    </row>
    <row r="3976" spans="1:12" x14ac:dyDescent="0.2">
      <c r="A3976" t="s">
        <v>4606</v>
      </c>
      <c r="B3976" t="s">
        <v>4607</v>
      </c>
      <c r="C3976" t="s">
        <v>202</v>
      </c>
      <c r="E3976" t="s">
        <v>4608</v>
      </c>
      <c r="F3976">
        <v>4900</v>
      </c>
      <c r="G3976" t="s">
        <v>41</v>
      </c>
      <c r="H3976" t="s">
        <v>16</v>
      </c>
      <c r="I3976" t="s">
        <v>551</v>
      </c>
      <c r="J3976" t="s">
        <v>552</v>
      </c>
      <c r="K3976" t="s">
        <v>1809</v>
      </c>
      <c r="L3976" t="str">
        <f>HYPERLINK("https://business-monitor.ch/de/companies/641255-production-excellence-gmbh?utm_source=oberaargau","PROFIL ANSEHEN")</f>
        <v>PROFIL ANSEHEN</v>
      </c>
    </row>
    <row r="3977" spans="1:12" x14ac:dyDescent="0.2">
      <c r="A3977" t="s">
        <v>14623</v>
      </c>
      <c r="B3977" t="s">
        <v>14624</v>
      </c>
      <c r="C3977" t="s">
        <v>1812</v>
      </c>
      <c r="E3977" t="s">
        <v>1146</v>
      </c>
      <c r="F3977">
        <v>3360</v>
      </c>
      <c r="G3977" t="s">
        <v>35</v>
      </c>
      <c r="H3977" t="s">
        <v>16</v>
      </c>
      <c r="I3977" t="s">
        <v>2275</v>
      </c>
      <c r="J3977" t="s">
        <v>2276</v>
      </c>
      <c r="K3977" t="s">
        <v>1809</v>
      </c>
      <c r="L3977" t="str">
        <f>HYPERLINK("https://business-monitor.ch/de/companies/1309297-kultmoebel-gattuso?utm_source=oberaargau","PROFIL ANSEHEN")</f>
        <v>PROFIL ANSEHEN</v>
      </c>
    </row>
    <row r="3978" spans="1:12" x14ac:dyDescent="0.2">
      <c r="A3978" t="s">
        <v>4961</v>
      </c>
      <c r="B3978" t="s">
        <v>4962</v>
      </c>
      <c r="C3978" t="s">
        <v>1812</v>
      </c>
      <c r="E3978" t="s">
        <v>4963</v>
      </c>
      <c r="F3978">
        <v>4704</v>
      </c>
      <c r="G3978" t="s">
        <v>221</v>
      </c>
      <c r="H3978" t="s">
        <v>16</v>
      </c>
      <c r="I3978" t="s">
        <v>679</v>
      </c>
      <c r="J3978" t="s">
        <v>680</v>
      </c>
      <c r="K3978" t="s">
        <v>1809</v>
      </c>
      <c r="L3978" t="str">
        <f>HYPERLINK("https://business-monitor.ch/de/companies/223569-schreinerei-schoenmann?utm_source=oberaargau","PROFIL ANSEHEN")</f>
        <v>PROFIL ANSEHEN</v>
      </c>
    </row>
    <row r="3979" spans="1:12" x14ac:dyDescent="0.2">
      <c r="A3979" t="s">
        <v>8714</v>
      </c>
      <c r="B3979" t="s">
        <v>8715</v>
      </c>
      <c r="C3979" t="s">
        <v>1812</v>
      </c>
      <c r="E3979" t="s">
        <v>5406</v>
      </c>
      <c r="F3979">
        <v>4922</v>
      </c>
      <c r="G3979" t="s">
        <v>99</v>
      </c>
      <c r="H3979" t="s">
        <v>16</v>
      </c>
      <c r="I3979" t="s">
        <v>824</v>
      </c>
      <c r="J3979" t="s">
        <v>825</v>
      </c>
      <c r="K3979" t="s">
        <v>1809</v>
      </c>
      <c r="L3979" t="str">
        <f>HYPERLINK("https://business-monitor.ch/de/companies/1065096-dorfbeizli-d-gerber?utm_source=oberaargau","PROFIL ANSEHEN")</f>
        <v>PROFIL ANSEHEN</v>
      </c>
    </row>
    <row r="3980" spans="1:12" x14ac:dyDescent="0.2">
      <c r="A3980" t="s">
        <v>5634</v>
      </c>
      <c r="B3980" t="s">
        <v>5635</v>
      </c>
      <c r="C3980" t="s">
        <v>1812</v>
      </c>
      <c r="E3980" t="s">
        <v>5636</v>
      </c>
      <c r="F3980">
        <v>4536</v>
      </c>
      <c r="G3980" t="s">
        <v>1395</v>
      </c>
      <c r="H3980" t="s">
        <v>16</v>
      </c>
      <c r="I3980" t="s">
        <v>1855</v>
      </c>
      <c r="J3980" t="s">
        <v>1856</v>
      </c>
      <c r="K3980" t="s">
        <v>1809</v>
      </c>
      <c r="L3980" t="str">
        <f>HYPERLINK("https://business-monitor.ch/de/companies/433709-fusspflege-schwaller?utm_source=oberaargau","PROFIL ANSEHEN")</f>
        <v>PROFIL ANSEHEN</v>
      </c>
    </row>
    <row r="3981" spans="1:12" x14ac:dyDescent="0.2">
      <c r="A3981" t="s">
        <v>14342</v>
      </c>
      <c r="B3981" t="s">
        <v>14343</v>
      </c>
      <c r="C3981" t="s">
        <v>202</v>
      </c>
      <c r="E3981" t="s">
        <v>14344</v>
      </c>
      <c r="F3981">
        <v>3475</v>
      </c>
      <c r="G3981" t="s">
        <v>2127</v>
      </c>
      <c r="H3981" t="s">
        <v>16</v>
      </c>
      <c r="I3981" t="s">
        <v>2849</v>
      </c>
      <c r="J3981" t="s">
        <v>2850</v>
      </c>
      <c r="K3981" t="s">
        <v>1809</v>
      </c>
      <c r="L3981" t="str">
        <f>HYPERLINK("https://business-monitor.ch/de/companies/1283491-meinhausservice-gmbh?utm_source=oberaargau","PROFIL ANSEHEN")</f>
        <v>PROFIL ANSEHEN</v>
      </c>
    </row>
    <row r="3982" spans="1:12" x14ac:dyDescent="0.2">
      <c r="A3982" t="s">
        <v>14625</v>
      </c>
      <c r="B3982" t="s">
        <v>14626</v>
      </c>
      <c r="C3982" t="s">
        <v>2258</v>
      </c>
      <c r="D3982" t="s">
        <v>14627</v>
      </c>
      <c r="E3982" t="s">
        <v>8313</v>
      </c>
      <c r="F3982">
        <v>3374</v>
      </c>
      <c r="G3982" t="s">
        <v>894</v>
      </c>
      <c r="H3982" t="s">
        <v>16</v>
      </c>
      <c r="I3982" t="s">
        <v>640</v>
      </c>
      <c r="J3982" t="s">
        <v>641</v>
      </c>
      <c r="K3982" t="s">
        <v>1809</v>
      </c>
      <c r="L3982" t="str">
        <f>HYPERLINK("https://business-monitor.ch/de/companies/1309453-behoerdenblick?utm_source=oberaargau","PROFIL ANSEHEN")</f>
        <v>PROFIL ANSEHEN</v>
      </c>
    </row>
    <row r="3983" spans="1:12" x14ac:dyDescent="0.2">
      <c r="A3983" t="s">
        <v>10931</v>
      </c>
      <c r="B3983" t="s">
        <v>10932</v>
      </c>
      <c r="C3983" t="s">
        <v>202</v>
      </c>
      <c r="E3983" t="s">
        <v>2266</v>
      </c>
      <c r="F3983">
        <v>4950</v>
      </c>
      <c r="G3983" t="s">
        <v>15</v>
      </c>
      <c r="H3983" t="s">
        <v>16</v>
      </c>
      <c r="I3983" t="s">
        <v>3361</v>
      </c>
      <c r="J3983" t="s">
        <v>3362</v>
      </c>
      <c r="K3983" t="s">
        <v>1809</v>
      </c>
      <c r="L3983" t="str">
        <f>HYPERLINK("https://business-monitor.ch/de/companies/1109478-jela-gmbh?utm_source=oberaargau","PROFIL ANSEHEN")</f>
        <v>PROFIL ANSEHEN</v>
      </c>
    </row>
    <row r="3984" spans="1:12" x14ac:dyDescent="0.2">
      <c r="A3984" t="s">
        <v>2956</v>
      </c>
      <c r="B3984" t="s">
        <v>2957</v>
      </c>
      <c r="C3984" t="s">
        <v>1812</v>
      </c>
      <c r="E3984" t="s">
        <v>2958</v>
      </c>
      <c r="F3984">
        <v>4900</v>
      </c>
      <c r="G3984" t="s">
        <v>41</v>
      </c>
      <c r="H3984" t="s">
        <v>16</v>
      </c>
      <c r="I3984" t="s">
        <v>77</v>
      </c>
      <c r="J3984" t="s">
        <v>78</v>
      </c>
      <c r="K3984" t="s">
        <v>1809</v>
      </c>
      <c r="L3984" t="str">
        <f>HYPERLINK("https://business-monitor.ch/de/companies/373293-markus-keusen-platten-und-maurerarbeiten?utm_source=oberaargau","PROFIL ANSEHEN")</f>
        <v>PROFIL ANSEHEN</v>
      </c>
    </row>
    <row r="3985" spans="1:12" x14ac:dyDescent="0.2">
      <c r="A3985" t="s">
        <v>4982</v>
      </c>
      <c r="B3985" t="s">
        <v>4983</v>
      </c>
      <c r="C3985" t="s">
        <v>202</v>
      </c>
      <c r="D3985" t="s">
        <v>4984</v>
      </c>
      <c r="E3985" t="s">
        <v>4985</v>
      </c>
      <c r="F3985">
        <v>4900</v>
      </c>
      <c r="G3985" t="s">
        <v>41</v>
      </c>
      <c r="H3985" t="s">
        <v>16</v>
      </c>
      <c r="I3985" t="s">
        <v>1324</v>
      </c>
      <c r="J3985" t="s">
        <v>1325</v>
      </c>
      <c r="K3985" t="s">
        <v>1809</v>
      </c>
      <c r="L3985" t="str">
        <f>HYPERLINK("https://business-monitor.ch/de/companies/243927-ryser-montagen-gmbh?utm_source=oberaargau","PROFIL ANSEHEN")</f>
        <v>PROFIL ANSEHEN</v>
      </c>
    </row>
    <row r="3986" spans="1:12" x14ac:dyDescent="0.2">
      <c r="A3986" t="s">
        <v>9654</v>
      </c>
      <c r="B3986" t="s">
        <v>9655</v>
      </c>
      <c r="C3986" t="s">
        <v>1812</v>
      </c>
      <c r="E3986" t="s">
        <v>9656</v>
      </c>
      <c r="F3986">
        <v>4917</v>
      </c>
      <c r="G3986" t="s">
        <v>376</v>
      </c>
      <c r="H3986" t="s">
        <v>16</v>
      </c>
      <c r="I3986" t="s">
        <v>2315</v>
      </c>
      <c r="J3986" t="s">
        <v>2316</v>
      </c>
      <c r="K3986" t="s">
        <v>1809</v>
      </c>
      <c r="L3986" t="str">
        <f>HYPERLINK("https://business-monitor.ch/de/companies/661313-jufer-landtechnik?utm_source=oberaargau","PROFIL ANSEHEN")</f>
        <v>PROFIL ANSEHEN</v>
      </c>
    </row>
    <row r="3987" spans="1:12" x14ac:dyDescent="0.2">
      <c r="A3987" t="s">
        <v>8961</v>
      </c>
      <c r="B3987" t="s">
        <v>8962</v>
      </c>
      <c r="C3987" t="s">
        <v>13</v>
      </c>
      <c r="E3987" t="s">
        <v>8963</v>
      </c>
      <c r="F3987">
        <v>3380</v>
      </c>
      <c r="G3987" t="s">
        <v>29</v>
      </c>
      <c r="H3987" t="s">
        <v>16</v>
      </c>
      <c r="I3987" t="s">
        <v>2715</v>
      </c>
      <c r="J3987" t="s">
        <v>2716</v>
      </c>
      <c r="K3987" t="s">
        <v>1809</v>
      </c>
      <c r="L3987" t="str">
        <f>HYPERLINK("https://business-monitor.ch/de/companies/256113-apro-ag?utm_source=oberaargau","PROFIL ANSEHEN")</f>
        <v>PROFIL ANSEHEN</v>
      </c>
    </row>
    <row r="3988" spans="1:12" x14ac:dyDescent="0.2">
      <c r="A3988" t="s">
        <v>5566</v>
      </c>
      <c r="B3988" t="s">
        <v>5567</v>
      </c>
      <c r="C3988" t="s">
        <v>13</v>
      </c>
      <c r="E3988" t="s">
        <v>4811</v>
      </c>
      <c r="F3988">
        <v>4900</v>
      </c>
      <c r="G3988" t="s">
        <v>41</v>
      </c>
      <c r="H3988" t="s">
        <v>16</v>
      </c>
      <c r="I3988" t="s">
        <v>1053</v>
      </c>
      <c r="J3988" t="s">
        <v>1054</v>
      </c>
      <c r="K3988" t="s">
        <v>1809</v>
      </c>
      <c r="L3988" t="str">
        <f>HYPERLINK("https://business-monitor.ch/de/companies/249619-emo-innenarchitektur-ag?utm_source=oberaargau","PROFIL ANSEHEN")</f>
        <v>PROFIL ANSEHEN</v>
      </c>
    </row>
    <row r="3989" spans="1:12" x14ac:dyDescent="0.2">
      <c r="A3989" t="s">
        <v>8597</v>
      </c>
      <c r="B3989" t="s">
        <v>8598</v>
      </c>
      <c r="C3989" t="s">
        <v>202</v>
      </c>
      <c r="E3989" t="s">
        <v>8599</v>
      </c>
      <c r="F3989">
        <v>3367</v>
      </c>
      <c r="G3989" t="s">
        <v>455</v>
      </c>
      <c r="H3989" t="s">
        <v>16</v>
      </c>
      <c r="I3989" t="s">
        <v>1721</v>
      </c>
      <c r="J3989" t="s">
        <v>1722</v>
      </c>
      <c r="K3989" t="s">
        <v>1809</v>
      </c>
      <c r="L3989" t="str">
        <f>HYPERLINK("https://business-monitor.ch/de/companies/471997-led-werkstatt-gmbh?utm_source=oberaargau","PROFIL ANSEHEN")</f>
        <v>PROFIL ANSEHEN</v>
      </c>
    </row>
    <row r="3990" spans="1:12" x14ac:dyDescent="0.2">
      <c r="A3990" t="s">
        <v>5749</v>
      </c>
      <c r="B3990" t="s">
        <v>5750</v>
      </c>
      <c r="C3990" t="s">
        <v>13</v>
      </c>
      <c r="E3990" t="s">
        <v>9815</v>
      </c>
      <c r="F3990">
        <v>4938</v>
      </c>
      <c r="G3990" t="s">
        <v>1909</v>
      </c>
      <c r="H3990" t="s">
        <v>16</v>
      </c>
      <c r="I3990" t="s">
        <v>642</v>
      </c>
      <c r="J3990" t="s">
        <v>643</v>
      </c>
      <c r="K3990" t="s">
        <v>1809</v>
      </c>
      <c r="L3990" t="str">
        <f>HYPERLINK("https://business-monitor.ch/de/companies/522820-garage-kilchenmann-ag?utm_source=oberaargau","PROFIL ANSEHEN")</f>
        <v>PROFIL ANSEHEN</v>
      </c>
    </row>
    <row r="3991" spans="1:12" x14ac:dyDescent="0.2">
      <c r="A3991" t="s">
        <v>10347</v>
      </c>
      <c r="B3991" t="s">
        <v>10348</v>
      </c>
      <c r="C3991" t="s">
        <v>13</v>
      </c>
      <c r="E3991" t="s">
        <v>10349</v>
      </c>
      <c r="F3991">
        <v>4704</v>
      </c>
      <c r="G3991" t="s">
        <v>221</v>
      </c>
      <c r="H3991" t="s">
        <v>16</v>
      </c>
      <c r="I3991" t="s">
        <v>2197</v>
      </c>
      <c r="J3991" t="s">
        <v>2198</v>
      </c>
      <c r="K3991" t="s">
        <v>1809</v>
      </c>
      <c r="L3991" t="str">
        <f>HYPERLINK("https://business-monitor.ch/de/companies/539863-izmk-ag?utm_source=oberaargau","PROFIL ANSEHEN")</f>
        <v>PROFIL ANSEHEN</v>
      </c>
    </row>
    <row r="3992" spans="1:12" x14ac:dyDescent="0.2">
      <c r="A3992" t="s">
        <v>7780</v>
      </c>
      <c r="B3992" t="s">
        <v>7781</v>
      </c>
      <c r="C3992" t="s">
        <v>202</v>
      </c>
      <c r="E3992" t="s">
        <v>7782</v>
      </c>
      <c r="F3992">
        <v>3376</v>
      </c>
      <c r="G3992" t="s">
        <v>2012</v>
      </c>
      <c r="H3992" t="s">
        <v>16</v>
      </c>
      <c r="I3992" t="s">
        <v>679</v>
      </c>
      <c r="J3992" t="s">
        <v>680</v>
      </c>
      <c r="K3992" t="s">
        <v>1809</v>
      </c>
      <c r="L3992" t="str">
        <f>HYPERLINK("https://business-monitor.ch/de/companies/558485-montage-jan-gmbh?utm_source=oberaargau","PROFIL ANSEHEN")</f>
        <v>PROFIL ANSEHEN</v>
      </c>
    </row>
    <row r="3993" spans="1:12" x14ac:dyDescent="0.2">
      <c r="A3993" t="s">
        <v>9562</v>
      </c>
      <c r="B3993" t="s">
        <v>9563</v>
      </c>
      <c r="C3993" t="s">
        <v>1812</v>
      </c>
      <c r="E3993" t="s">
        <v>3485</v>
      </c>
      <c r="F3993">
        <v>4900</v>
      </c>
      <c r="G3993" t="s">
        <v>41</v>
      </c>
      <c r="H3993" t="s">
        <v>16</v>
      </c>
      <c r="I3993" t="s">
        <v>940</v>
      </c>
      <c r="J3993" t="s">
        <v>941</v>
      </c>
      <c r="K3993" t="s">
        <v>1809</v>
      </c>
      <c r="L3993" t="str">
        <f>HYPERLINK("https://business-monitor.ch/de/companies/572229-kreuzhof-bar-selma-wyttenbach?utm_source=oberaargau","PROFIL ANSEHEN")</f>
        <v>PROFIL ANSEHEN</v>
      </c>
    </row>
    <row r="3994" spans="1:12" x14ac:dyDescent="0.2">
      <c r="A3994" t="s">
        <v>11332</v>
      </c>
      <c r="B3994" t="s">
        <v>11333</v>
      </c>
      <c r="C3994" t="s">
        <v>13</v>
      </c>
      <c r="D3994" t="s">
        <v>11334</v>
      </c>
      <c r="E3994" t="s">
        <v>129</v>
      </c>
      <c r="F3994">
        <v>4900</v>
      </c>
      <c r="G3994" t="s">
        <v>41</v>
      </c>
      <c r="H3994" t="s">
        <v>16</v>
      </c>
      <c r="I3994" t="s">
        <v>182</v>
      </c>
      <c r="J3994" t="s">
        <v>183</v>
      </c>
      <c r="K3994" t="s">
        <v>1809</v>
      </c>
      <c r="L3994" t="str">
        <f>HYPERLINK("https://business-monitor.ch/de/companies/1136140-caynova-holding-ag?utm_source=oberaargau","PROFIL ANSEHEN")</f>
        <v>PROFIL ANSEHEN</v>
      </c>
    </row>
    <row r="3995" spans="1:12" x14ac:dyDescent="0.2">
      <c r="A3995" t="s">
        <v>11126</v>
      </c>
      <c r="B3995" t="s">
        <v>11127</v>
      </c>
      <c r="C3995" t="s">
        <v>202</v>
      </c>
      <c r="E3995" t="s">
        <v>1840</v>
      </c>
      <c r="F3995">
        <v>4917</v>
      </c>
      <c r="G3995" t="s">
        <v>376</v>
      </c>
      <c r="H3995" t="s">
        <v>16</v>
      </c>
      <c r="I3995" t="s">
        <v>781</v>
      </c>
      <c r="J3995" t="s">
        <v>782</v>
      </c>
      <c r="K3995" t="s">
        <v>1809</v>
      </c>
      <c r="L3995" t="str">
        <f>HYPERLINK("https://business-monitor.ch/de/companies/1112285-reparaturwerkstatt-sommer-gmbh?utm_source=oberaargau","PROFIL ANSEHEN")</f>
        <v>PROFIL ANSEHEN</v>
      </c>
    </row>
    <row r="3996" spans="1:12" x14ac:dyDescent="0.2">
      <c r="A3996" t="s">
        <v>11623</v>
      </c>
      <c r="B3996" t="s">
        <v>11624</v>
      </c>
      <c r="C3996" t="s">
        <v>1812</v>
      </c>
      <c r="E3996" t="s">
        <v>4094</v>
      </c>
      <c r="F3996">
        <v>4922</v>
      </c>
      <c r="G3996" t="s">
        <v>99</v>
      </c>
      <c r="H3996" t="s">
        <v>16</v>
      </c>
      <c r="I3996" t="s">
        <v>72</v>
      </c>
      <c r="J3996" t="s">
        <v>73</v>
      </c>
      <c r="K3996" t="s">
        <v>1809</v>
      </c>
      <c r="L3996" t="str">
        <f>HYPERLINK("https://business-monitor.ch/de/companies/1153957-imperial-kitchen24-alagaratnam?utm_source=oberaargau","PROFIL ANSEHEN")</f>
        <v>PROFIL ANSEHEN</v>
      </c>
    </row>
    <row r="3997" spans="1:12" x14ac:dyDescent="0.2">
      <c r="A3997" t="s">
        <v>14628</v>
      </c>
      <c r="B3997" t="s">
        <v>14629</v>
      </c>
      <c r="C3997" t="s">
        <v>2258</v>
      </c>
      <c r="D3997" t="s">
        <v>14630</v>
      </c>
      <c r="E3997" t="s">
        <v>14631</v>
      </c>
      <c r="F3997">
        <v>4933</v>
      </c>
      <c r="G3997" t="s">
        <v>3812</v>
      </c>
      <c r="H3997" t="s">
        <v>16</v>
      </c>
      <c r="I3997" t="s">
        <v>2849</v>
      </c>
      <c r="J3997" t="s">
        <v>2850</v>
      </c>
      <c r="K3997" t="s">
        <v>1809</v>
      </c>
      <c r="L3997" t="str">
        <f>HYPERLINK("https://business-monitor.ch/de/companies/1301906-spiel-dein-leben?utm_source=oberaargau","PROFIL ANSEHEN")</f>
        <v>PROFIL ANSEHEN</v>
      </c>
    </row>
    <row r="3998" spans="1:12" x14ac:dyDescent="0.2">
      <c r="A3998" t="s">
        <v>14632</v>
      </c>
      <c r="B3998" t="s">
        <v>14633</v>
      </c>
      <c r="C3998" t="s">
        <v>1812</v>
      </c>
      <c r="E3998" t="s">
        <v>3480</v>
      </c>
      <c r="F3998">
        <v>4900</v>
      </c>
      <c r="G3998" t="s">
        <v>41</v>
      </c>
      <c r="H3998" t="s">
        <v>16</v>
      </c>
      <c r="I3998" t="s">
        <v>2226</v>
      </c>
      <c r="J3998" t="s">
        <v>2227</v>
      </c>
      <c r="K3998" t="s">
        <v>1809</v>
      </c>
      <c r="L3998" t="str">
        <f>HYPERLINK("https://business-monitor.ch/de/companies/1297118-physiotherapie-auferstehung-milosevic?utm_source=oberaargau","PROFIL ANSEHEN")</f>
        <v>PROFIL ANSEHEN</v>
      </c>
    </row>
    <row r="3999" spans="1:12" x14ac:dyDescent="0.2">
      <c r="A3999" t="s">
        <v>8111</v>
      </c>
      <c r="B3999" t="s">
        <v>8112</v>
      </c>
      <c r="C3999" t="s">
        <v>202</v>
      </c>
      <c r="E3999" t="s">
        <v>8113</v>
      </c>
      <c r="F3999">
        <v>3360</v>
      </c>
      <c r="G3999" t="s">
        <v>35</v>
      </c>
      <c r="H3999" t="s">
        <v>16</v>
      </c>
      <c r="I3999" t="s">
        <v>551</v>
      </c>
      <c r="J3999" t="s">
        <v>552</v>
      </c>
      <c r="K3999" t="s">
        <v>1809</v>
      </c>
      <c r="L3999" t="str">
        <f>HYPERLINK("https://business-monitor.ch/de/companies/662186-luechinger-experten-gmbh?utm_source=oberaargau","PROFIL ANSEHEN")</f>
        <v>PROFIL ANSEHEN</v>
      </c>
    </row>
    <row r="4000" spans="1:12" x14ac:dyDescent="0.2">
      <c r="A4000" t="s">
        <v>14162</v>
      </c>
      <c r="B4000" t="s">
        <v>14163</v>
      </c>
      <c r="C4000" t="s">
        <v>1812</v>
      </c>
      <c r="E4000" t="s">
        <v>14164</v>
      </c>
      <c r="F4000">
        <v>4900</v>
      </c>
      <c r="G4000" t="s">
        <v>41</v>
      </c>
      <c r="H4000" t="s">
        <v>16</v>
      </c>
      <c r="I4000" t="s">
        <v>824</v>
      </c>
      <c r="J4000" t="s">
        <v>825</v>
      </c>
      <c r="K4000" t="s">
        <v>1809</v>
      </c>
      <c r="L4000" t="str">
        <f>HYPERLINK("https://business-monitor.ch/de/companies/1286360-sj-kitchen-inh-loganathan?utm_source=oberaargau","PROFIL ANSEHEN")</f>
        <v>PROFIL ANSEHEN</v>
      </c>
    </row>
    <row r="4001" spans="1:12" x14ac:dyDescent="0.2">
      <c r="A4001" t="s">
        <v>3121</v>
      </c>
      <c r="B4001" t="s">
        <v>13639</v>
      </c>
      <c r="C4001" t="s">
        <v>2258</v>
      </c>
      <c r="E4001" t="s">
        <v>3122</v>
      </c>
      <c r="F4001">
        <v>3360</v>
      </c>
      <c r="G4001" t="s">
        <v>35</v>
      </c>
      <c r="H4001" t="s">
        <v>16</v>
      </c>
      <c r="I4001" t="s">
        <v>640</v>
      </c>
      <c r="J4001" t="s">
        <v>641</v>
      </c>
      <c r="K4001" t="s">
        <v>1809</v>
      </c>
      <c r="L4001" t="str">
        <f>HYPERLINK("https://business-monitor.ch/de/companies/317488-darul-erkam-moschee-herzogenbuchsee?utm_source=oberaargau","PROFIL ANSEHEN")</f>
        <v>PROFIL ANSEHEN</v>
      </c>
    </row>
    <row r="4002" spans="1:12" x14ac:dyDescent="0.2">
      <c r="A4002" t="s">
        <v>6671</v>
      </c>
      <c r="B4002" t="s">
        <v>6672</v>
      </c>
      <c r="C4002" t="s">
        <v>13</v>
      </c>
      <c r="D4002" t="s">
        <v>14307</v>
      </c>
      <c r="E4002" t="s">
        <v>390</v>
      </c>
      <c r="F4002">
        <v>4537</v>
      </c>
      <c r="G4002" t="s">
        <v>113</v>
      </c>
      <c r="H4002" t="s">
        <v>16</v>
      </c>
      <c r="I4002" t="s">
        <v>134</v>
      </c>
      <c r="J4002" t="s">
        <v>135</v>
      </c>
      <c r="K4002" t="s">
        <v>1809</v>
      </c>
      <c r="L4002" t="str">
        <f>HYPERLINK("https://business-monitor.ch/de/companies/173665-elektro-hippenmeyer-ag?utm_source=oberaargau","PROFIL ANSEHEN")</f>
        <v>PROFIL ANSEHEN</v>
      </c>
    </row>
    <row r="4003" spans="1:12" x14ac:dyDescent="0.2">
      <c r="A4003" t="s">
        <v>6362</v>
      </c>
      <c r="B4003" t="s">
        <v>6363</v>
      </c>
      <c r="C4003" t="s">
        <v>1812</v>
      </c>
      <c r="E4003" t="s">
        <v>6364</v>
      </c>
      <c r="F4003">
        <v>4538</v>
      </c>
      <c r="G4003" t="s">
        <v>71</v>
      </c>
      <c r="H4003" t="s">
        <v>16</v>
      </c>
      <c r="I4003" t="s">
        <v>1485</v>
      </c>
      <c r="J4003" t="s">
        <v>1486</v>
      </c>
      <c r="K4003" t="s">
        <v>1809</v>
      </c>
      <c r="L4003" t="str">
        <f>HYPERLINK("https://business-monitor.ch/de/companies/300682-dorflade-bistro-veronika-hasler?utm_source=oberaargau","PROFIL ANSEHEN")</f>
        <v>PROFIL ANSEHEN</v>
      </c>
    </row>
    <row r="4004" spans="1:12" x14ac:dyDescent="0.2">
      <c r="A4004" t="s">
        <v>14634</v>
      </c>
      <c r="B4004" t="s">
        <v>14635</v>
      </c>
      <c r="C4004" t="s">
        <v>202</v>
      </c>
      <c r="E4004" t="s">
        <v>2460</v>
      </c>
      <c r="F4004">
        <v>4900</v>
      </c>
      <c r="G4004" t="s">
        <v>41</v>
      </c>
      <c r="H4004" t="s">
        <v>16</v>
      </c>
      <c r="I4004" t="s">
        <v>260</v>
      </c>
      <c r="J4004" t="s">
        <v>261</v>
      </c>
      <c r="K4004" t="s">
        <v>1809</v>
      </c>
      <c r="L4004" t="str">
        <f>HYPERLINK("https://business-monitor.ch/de/companies/1299656-lineaplan-gmbh?utm_source=oberaargau","PROFIL ANSEHEN")</f>
        <v>PROFIL ANSEHEN</v>
      </c>
    </row>
    <row r="4005" spans="1:12" x14ac:dyDescent="0.2">
      <c r="A4005" t="s">
        <v>7371</v>
      </c>
      <c r="B4005" t="s">
        <v>7372</v>
      </c>
      <c r="C4005" t="s">
        <v>1812</v>
      </c>
      <c r="E4005" t="s">
        <v>7373</v>
      </c>
      <c r="F4005">
        <v>3360</v>
      </c>
      <c r="G4005" t="s">
        <v>35</v>
      </c>
      <c r="H4005" t="s">
        <v>16</v>
      </c>
      <c r="I4005" t="s">
        <v>475</v>
      </c>
      <c r="J4005" t="s">
        <v>476</v>
      </c>
      <c r="K4005" t="s">
        <v>1809</v>
      </c>
      <c r="L4005" t="str">
        <f>HYPERLINK("https://business-monitor.ch/de/companies/975222-weg-punkt-gnaegi?utm_source=oberaargau","PROFIL ANSEHEN")</f>
        <v>PROFIL ANSEHEN</v>
      </c>
    </row>
    <row r="4006" spans="1:12" x14ac:dyDescent="0.2">
      <c r="A4006" t="s">
        <v>4536</v>
      </c>
      <c r="B4006" t="s">
        <v>4537</v>
      </c>
      <c r="C4006" t="s">
        <v>202</v>
      </c>
      <c r="E4006" t="s">
        <v>6928</v>
      </c>
      <c r="F4006">
        <v>4900</v>
      </c>
      <c r="G4006" t="s">
        <v>41</v>
      </c>
      <c r="H4006" t="s">
        <v>16</v>
      </c>
      <c r="I4006" t="s">
        <v>1841</v>
      </c>
      <c r="J4006" t="s">
        <v>1842</v>
      </c>
      <c r="K4006" t="s">
        <v>1809</v>
      </c>
      <c r="L4006" t="str">
        <f>HYPERLINK("https://business-monitor.ch/de/companies/676047-podologie-leu-gmbh?utm_source=oberaargau","PROFIL ANSEHEN")</f>
        <v>PROFIL ANSEHEN</v>
      </c>
    </row>
    <row r="4007" spans="1:12" x14ac:dyDescent="0.2">
      <c r="A4007" t="s">
        <v>9885</v>
      </c>
      <c r="B4007" t="s">
        <v>9886</v>
      </c>
      <c r="C4007" t="s">
        <v>202</v>
      </c>
      <c r="D4007" t="s">
        <v>11915</v>
      </c>
      <c r="E4007" t="s">
        <v>13017</v>
      </c>
      <c r="F4007">
        <v>4704</v>
      </c>
      <c r="G4007" t="s">
        <v>221</v>
      </c>
      <c r="H4007" t="s">
        <v>16</v>
      </c>
      <c r="I4007" t="s">
        <v>781</v>
      </c>
      <c r="J4007" t="s">
        <v>782</v>
      </c>
      <c r="K4007" t="s">
        <v>1809</v>
      </c>
      <c r="L4007" t="str">
        <f>HYPERLINK("https://business-monitor.ch/de/companies/974837-daemech-gmbh?utm_source=oberaargau","PROFIL ANSEHEN")</f>
        <v>PROFIL ANSEHEN</v>
      </c>
    </row>
    <row r="4008" spans="1:12" x14ac:dyDescent="0.2">
      <c r="A4008" t="s">
        <v>7589</v>
      </c>
      <c r="B4008" t="s">
        <v>7590</v>
      </c>
      <c r="C4008" t="s">
        <v>1812</v>
      </c>
      <c r="E4008" t="s">
        <v>7591</v>
      </c>
      <c r="F4008">
        <v>4704</v>
      </c>
      <c r="G4008" t="s">
        <v>221</v>
      </c>
      <c r="H4008" t="s">
        <v>16</v>
      </c>
      <c r="I4008" t="s">
        <v>928</v>
      </c>
      <c r="J4008" t="s">
        <v>929</v>
      </c>
      <c r="K4008" t="s">
        <v>1809</v>
      </c>
      <c r="L4008" t="str">
        <f>HYPERLINK("https://business-monitor.ch/de/companies/677844-catering-pranjic?utm_source=oberaargau","PROFIL ANSEHEN")</f>
        <v>PROFIL ANSEHEN</v>
      </c>
    </row>
    <row r="4009" spans="1:12" x14ac:dyDescent="0.2">
      <c r="A4009" t="s">
        <v>6409</v>
      </c>
      <c r="B4009" t="s">
        <v>6410</v>
      </c>
      <c r="C4009" t="s">
        <v>202</v>
      </c>
      <c r="E4009" t="s">
        <v>4930</v>
      </c>
      <c r="F4009">
        <v>3380</v>
      </c>
      <c r="G4009" t="s">
        <v>29</v>
      </c>
      <c r="H4009" t="s">
        <v>16</v>
      </c>
      <c r="I4009" t="s">
        <v>298</v>
      </c>
      <c r="J4009" t="s">
        <v>299</v>
      </c>
      <c r="K4009" t="s">
        <v>1809</v>
      </c>
      <c r="L4009" t="str">
        <f>HYPERLINK("https://business-monitor.ch/de/companies/288566-afk-technik-gmbh?utm_source=oberaargau","PROFIL ANSEHEN")</f>
        <v>PROFIL ANSEHEN</v>
      </c>
    </row>
    <row r="4010" spans="1:12" x14ac:dyDescent="0.2">
      <c r="A4010" t="s">
        <v>7137</v>
      </c>
      <c r="B4010" t="s">
        <v>699</v>
      </c>
      <c r="C4010" t="s">
        <v>2178</v>
      </c>
      <c r="E4010" t="s">
        <v>7138</v>
      </c>
      <c r="F4010">
        <v>4954</v>
      </c>
      <c r="G4010" t="s">
        <v>359</v>
      </c>
      <c r="H4010" t="s">
        <v>16</v>
      </c>
      <c r="I4010" t="s">
        <v>134</v>
      </c>
      <c r="J4010" t="s">
        <v>135</v>
      </c>
      <c r="K4010" t="s">
        <v>1809</v>
      </c>
      <c r="L4010" t="str">
        <f>HYPERLINK("https://business-monitor.ch/de/companies/618746-schulze-elektro-ag?utm_source=oberaargau","PROFIL ANSEHEN")</f>
        <v>PROFIL ANSEHEN</v>
      </c>
    </row>
    <row r="4011" spans="1:12" x14ac:dyDescent="0.2">
      <c r="A4011" t="s">
        <v>13522</v>
      </c>
      <c r="B4011" t="s">
        <v>13523</v>
      </c>
      <c r="C4011" t="s">
        <v>202</v>
      </c>
      <c r="E4011" t="s">
        <v>13524</v>
      </c>
      <c r="F4011">
        <v>4704</v>
      </c>
      <c r="G4011" t="s">
        <v>221</v>
      </c>
      <c r="H4011" t="s">
        <v>16</v>
      </c>
      <c r="I4011" t="s">
        <v>3775</v>
      </c>
      <c r="J4011" t="s">
        <v>3776</v>
      </c>
      <c r="K4011" t="s">
        <v>1809</v>
      </c>
      <c r="L4011" t="str">
        <f>HYPERLINK("https://business-monitor.ch/de/companies/934639-blackskypictures-gmbh?utm_source=oberaargau","PROFIL ANSEHEN")</f>
        <v>PROFIL ANSEHEN</v>
      </c>
    </row>
    <row r="4012" spans="1:12" x14ac:dyDescent="0.2">
      <c r="A4012" t="s">
        <v>8607</v>
      </c>
      <c r="B4012" t="s">
        <v>8608</v>
      </c>
      <c r="C4012" t="s">
        <v>13</v>
      </c>
      <c r="E4012" t="s">
        <v>4650</v>
      </c>
      <c r="F4012">
        <v>4900</v>
      </c>
      <c r="G4012" t="s">
        <v>41</v>
      </c>
      <c r="H4012" t="s">
        <v>16</v>
      </c>
      <c r="I4012" t="s">
        <v>4247</v>
      </c>
      <c r="J4012" t="s">
        <v>4248</v>
      </c>
      <c r="K4012" t="s">
        <v>1809</v>
      </c>
      <c r="L4012" t="str">
        <f>HYPERLINK("https://business-monitor.ch/de/companies/729820-gastroenterologie-oberaargau-ag?utm_source=oberaargau","PROFIL ANSEHEN")</f>
        <v>PROFIL ANSEHEN</v>
      </c>
    </row>
    <row r="4013" spans="1:12" x14ac:dyDescent="0.2">
      <c r="A4013" t="s">
        <v>12429</v>
      </c>
      <c r="B4013" t="s">
        <v>12430</v>
      </c>
      <c r="C4013" t="s">
        <v>13</v>
      </c>
      <c r="E4013" t="s">
        <v>4733</v>
      </c>
      <c r="F4013">
        <v>3360</v>
      </c>
      <c r="G4013" t="s">
        <v>35</v>
      </c>
      <c r="H4013" t="s">
        <v>16</v>
      </c>
      <c r="I4013" t="s">
        <v>560</v>
      </c>
      <c r="J4013" t="s">
        <v>561</v>
      </c>
      <c r="K4013" t="s">
        <v>1809</v>
      </c>
      <c r="L4013" t="str">
        <f>HYPERLINK("https://business-monitor.ch/de/companies/1190010-buchsi-apotheke-ag?utm_source=oberaargau","PROFIL ANSEHEN")</f>
        <v>PROFIL ANSEHEN</v>
      </c>
    </row>
    <row r="4014" spans="1:12" x14ac:dyDescent="0.2">
      <c r="A4014" t="s">
        <v>13961</v>
      </c>
      <c r="B4014" t="s">
        <v>13962</v>
      </c>
      <c r="C4014" t="s">
        <v>13</v>
      </c>
      <c r="E4014" t="s">
        <v>4452</v>
      </c>
      <c r="F4014">
        <v>4900</v>
      </c>
      <c r="G4014" t="s">
        <v>41</v>
      </c>
      <c r="H4014" t="s">
        <v>16</v>
      </c>
      <c r="I4014" t="s">
        <v>72</v>
      </c>
      <c r="J4014" t="s">
        <v>73</v>
      </c>
      <c r="K4014" t="s">
        <v>1809</v>
      </c>
      <c r="L4014" t="str">
        <f>HYPERLINK("https://business-monitor.ch/de/companies/1279892-piazza-langenthal-ag?utm_source=oberaargau","PROFIL ANSEHEN")</f>
        <v>PROFIL ANSEHEN</v>
      </c>
    </row>
    <row r="4015" spans="1:12" x14ac:dyDescent="0.2">
      <c r="A4015" t="s">
        <v>2579</v>
      </c>
      <c r="B4015" t="s">
        <v>2580</v>
      </c>
      <c r="C4015" t="s">
        <v>13</v>
      </c>
      <c r="E4015" t="s">
        <v>12088</v>
      </c>
      <c r="F4015">
        <v>4936</v>
      </c>
      <c r="G4015" t="s">
        <v>768</v>
      </c>
      <c r="H4015" t="s">
        <v>16</v>
      </c>
      <c r="I4015" t="s">
        <v>182</v>
      </c>
      <c r="J4015" t="s">
        <v>183</v>
      </c>
      <c r="K4015" t="s">
        <v>1809</v>
      </c>
      <c r="L4015" t="str">
        <f>HYPERLINK("https://business-monitor.ch/de/companies/702782-3w-group-ag?utm_source=oberaargau","PROFIL ANSEHEN")</f>
        <v>PROFIL ANSEHEN</v>
      </c>
    </row>
    <row r="4016" spans="1:12" x14ac:dyDescent="0.2">
      <c r="A4016" t="s">
        <v>10076</v>
      </c>
      <c r="B4016" t="s">
        <v>10077</v>
      </c>
      <c r="C4016" t="s">
        <v>13</v>
      </c>
      <c r="E4016" t="s">
        <v>3649</v>
      </c>
      <c r="F4016">
        <v>3380</v>
      </c>
      <c r="G4016" t="s">
        <v>29</v>
      </c>
      <c r="H4016" t="s">
        <v>16</v>
      </c>
      <c r="I4016" t="s">
        <v>4039</v>
      </c>
      <c r="J4016" t="s">
        <v>4040</v>
      </c>
      <c r="K4016" t="s">
        <v>1809</v>
      </c>
      <c r="L4016" t="str">
        <f>HYPERLINK("https://business-monitor.ch/de/companies/688906-abc-power-gym-ag?utm_source=oberaargau","PROFIL ANSEHEN")</f>
        <v>PROFIL ANSEHEN</v>
      </c>
    </row>
    <row r="4017" spans="1:12" x14ac:dyDescent="0.2">
      <c r="A4017" t="s">
        <v>7602</v>
      </c>
      <c r="B4017" t="s">
        <v>7603</v>
      </c>
      <c r="C4017" t="s">
        <v>202</v>
      </c>
      <c r="E4017" t="s">
        <v>5270</v>
      </c>
      <c r="F4017">
        <v>3380</v>
      </c>
      <c r="G4017" t="s">
        <v>29</v>
      </c>
      <c r="H4017" t="s">
        <v>16</v>
      </c>
      <c r="I4017" t="s">
        <v>1026</v>
      </c>
      <c r="J4017" t="s">
        <v>1027</v>
      </c>
      <c r="K4017" t="s">
        <v>1809</v>
      </c>
      <c r="L4017" t="str">
        <f>HYPERLINK("https://business-monitor.ch/de/companies/670339-homecar-gmbh?utm_source=oberaargau","PROFIL ANSEHEN")</f>
        <v>PROFIL ANSEHEN</v>
      </c>
    </row>
    <row r="4018" spans="1:12" x14ac:dyDescent="0.2">
      <c r="A4018" t="s">
        <v>8211</v>
      </c>
      <c r="B4018" t="s">
        <v>8212</v>
      </c>
      <c r="C4018" t="s">
        <v>202</v>
      </c>
      <c r="E4018" t="s">
        <v>6907</v>
      </c>
      <c r="F4018">
        <v>4912</v>
      </c>
      <c r="G4018" t="s">
        <v>64</v>
      </c>
      <c r="H4018" t="s">
        <v>16</v>
      </c>
      <c r="I4018" t="s">
        <v>331</v>
      </c>
      <c r="J4018" t="s">
        <v>332</v>
      </c>
      <c r="K4018" t="s">
        <v>1809</v>
      </c>
      <c r="L4018" t="str">
        <f>HYPERLINK("https://business-monitor.ch/de/companies/131071-m-egli-metallbau-gmbh?utm_source=oberaargau","PROFIL ANSEHEN")</f>
        <v>PROFIL ANSEHEN</v>
      </c>
    </row>
    <row r="4019" spans="1:12" x14ac:dyDescent="0.2">
      <c r="A4019" t="s">
        <v>5648</v>
      </c>
      <c r="B4019" t="s">
        <v>5649</v>
      </c>
      <c r="C4019" t="s">
        <v>202</v>
      </c>
      <c r="E4019" t="s">
        <v>5650</v>
      </c>
      <c r="F4019">
        <v>4913</v>
      </c>
      <c r="G4019" t="s">
        <v>207</v>
      </c>
      <c r="H4019" t="s">
        <v>16</v>
      </c>
      <c r="I4019" t="s">
        <v>974</v>
      </c>
      <c r="J4019" t="s">
        <v>975</v>
      </c>
      <c r="K4019" t="s">
        <v>1809</v>
      </c>
      <c r="L4019" t="str">
        <f>HYPERLINK("https://business-monitor.ch/de/companies/301139-friedli-pferdetransporter-gmbh?utm_source=oberaargau","PROFIL ANSEHEN")</f>
        <v>PROFIL ANSEHEN</v>
      </c>
    </row>
    <row r="4020" spans="1:12" x14ac:dyDescent="0.2">
      <c r="A4020" t="s">
        <v>3855</v>
      </c>
      <c r="B4020" t="s">
        <v>3856</v>
      </c>
      <c r="C4020" t="s">
        <v>1812</v>
      </c>
      <c r="E4020" t="s">
        <v>3857</v>
      </c>
      <c r="F4020">
        <v>4900</v>
      </c>
      <c r="G4020" t="s">
        <v>41</v>
      </c>
      <c r="H4020" t="s">
        <v>16</v>
      </c>
      <c r="I4020" t="s">
        <v>2050</v>
      </c>
      <c r="J4020" t="s">
        <v>2051</v>
      </c>
      <c r="K4020" t="s">
        <v>1809</v>
      </c>
      <c r="L4020" t="str">
        <f>HYPERLINK("https://business-monitor.ch/de/companies/529787-mercerie-gullo?utm_source=oberaargau","PROFIL ANSEHEN")</f>
        <v>PROFIL ANSEHEN</v>
      </c>
    </row>
    <row r="4021" spans="1:12" x14ac:dyDescent="0.2">
      <c r="A4021" t="s">
        <v>6718</v>
      </c>
      <c r="B4021" t="s">
        <v>6719</v>
      </c>
      <c r="C4021" t="s">
        <v>13</v>
      </c>
      <c r="E4021" t="s">
        <v>491</v>
      </c>
      <c r="F4021">
        <v>4900</v>
      </c>
      <c r="G4021" t="s">
        <v>41</v>
      </c>
      <c r="H4021" t="s">
        <v>16</v>
      </c>
      <c r="I4021" t="s">
        <v>3510</v>
      </c>
      <c r="J4021" t="s">
        <v>3511</v>
      </c>
      <c r="K4021" t="s">
        <v>1809</v>
      </c>
      <c r="L4021" t="str">
        <f>HYPERLINK("https://business-monitor.ch/de/companies/138653-bader-ag-buero-design?utm_source=oberaargau","PROFIL ANSEHEN")</f>
        <v>PROFIL ANSEHEN</v>
      </c>
    </row>
    <row r="4022" spans="1:12" x14ac:dyDescent="0.2">
      <c r="A4022" t="s">
        <v>3760</v>
      </c>
      <c r="B4022" t="s">
        <v>3761</v>
      </c>
      <c r="C4022" t="s">
        <v>13</v>
      </c>
      <c r="E4022" t="s">
        <v>3863</v>
      </c>
      <c r="F4022">
        <v>4900</v>
      </c>
      <c r="G4022" t="s">
        <v>41</v>
      </c>
      <c r="H4022" t="s">
        <v>16</v>
      </c>
      <c r="I4022" t="s">
        <v>831</v>
      </c>
      <c r="J4022" t="s">
        <v>832</v>
      </c>
      <c r="K4022" t="s">
        <v>1809</v>
      </c>
      <c r="L4022" t="str">
        <f>HYPERLINK("https://business-monitor.ch/de/companies/43664-efag-ernst-fiechter-ag?utm_source=oberaargau","PROFIL ANSEHEN")</f>
        <v>PROFIL ANSEHEN</v>
      </c>
    </row>
    <row r="4023" spans="1:12" x14ac:dyDescent="0.2">
      <c r="A4023" t="s">
        <v>5087</v>
      </c>
      <c r="B4023" t="s">
        <v>5088</v>
      </c>
      <c r="C4023" t="s">
        <v>1812</v>
      </c>
      <c r="E4023" t="s">
        <v>5089</v>
      </c>
      <c r="F4023">
        <v>4933</v>
      </c>
      <c r="G4023" t="s">
        <v>3812</v>
      </c>
      <c r="H4023" t="s">
        <v>16</v>
      </c>
      <c r="I4023" t="s">
        <v>260</v>
      </c>
      <c r="J4023" t="s">
        <v>261</v>
      </c>
      <c r="K4023" t="s">
        <v>1809</v>
      </c>
      <c r="L4023" t="str">
        <f>HYPERLINK("https://business-monitor.ch/de/companies/210467-architekturbuero-kurth?utm_source=oberaargau","PROFIL ANSEHEN")</f>
        <v>PROFIL ANSEHEN</v>
      </c>
    </row>
    <row r="4024" spans="1:12" x14ac:dyDescent="0.2">
      <c r="A4024" t="s">
        <v>7654</v>
      </c>
      <c r="B4024" t="s">
        <v>7655</v>
      </c>
      <c r="C4024" t="s">
        <v>202</v>
      </c>
      <c r="E4024" t="s">
        <v>7656</v>
      </c>
      <c r="F4024">
        <v>3368</v>
      </c>
      <c r="G4024" t="s">
        <v>308</v>
      </c>
      <c r="H4024" t="s">
        <v>16</v>
      </c>
      <c r="I4024" t="s">
        <v>331</v>
      </c>
      <c r="J4024" t="s">
        <v>332</v>
      </c>
      <c r="K4024" t="s">
        <v>1809</v>
      </c>
      <c r="L4024" t="str">
        <f>HYPERLINK("https://business-monitor.ch/de/companies/636861-mewag-rohrbiegetechnik-gmbh?utm_source=oberaargau","PROFIL ANSEHEN")</f>
        <v>PROFIL ANSEHEN</v>
      </c>
    </row>
    <row r="4025" spans="1:12" x14ac:dyDescent="0.2">
      <c r="A4025" t="s">
        <v>5550</v>
      </c>
      <c r="B4025" t="s">
        <v>5551</v>
      </c>
      <c r="C4025" t="s">
        <v>202</v>
      </c>
      <c r="E4025" t="s">
        <v>5552</v>
      </c>
      <c r="F4025">
        <v>4704</v>
      </c>
      <c r="G4025" t="s">
        <v>221</v>
      </c>
      <c r="H4025" t="s">
        <v>16</v>
      </c>
      <c r="I4025" t="s">
        <v>232</v>
      </c>
      <c r="J4025" t="s">
        <v>233</v>
      </c>
      <c r="K4025" t="s">
        <v>1809</v>
      </c>
      <c r="L4025" t="str">
        <f>HYPERLINK("https://business-monitor.ch/de/companies/390810-ewc-gmbh?utm_source=oberaargau","PROFIL ANSEHEN")</f>
        <v>PROFIL ANSEHEN</v>
      </c>
    </row>
    <row r="4026" spans="1:12" x14ac:dyDescent="0.2">
      <c r="A4026" t="s">
        <v>151</v>
      </c>
      <c r="B4026" t="s">
        <v>3419</v>
      </c>
      <c r="C4026" t="s">
        <v>13</v>
      </c>
      <c r="E4026" t="s">
        <v>573</v>
      </c>
      <c r="F4026">
        <v>4912</v>
      </c>
      <c r="G4026" t="s">
        <v>64</v>
      </c>
      <c r="H4026" t="s">
        <v>16</v>
      </c>
      <c r="I4026" t="s">
        <v>838</v>
      </c>
      <c r="J4026" t="s">
        <v>839</v>
      </c>
      <c r="K4026" t="s">
        <v>1809</v>
      </c>
      <c r="L4026" t="str">
        <f>HYPERLINK("https://business-monitor.ch/de/companies/183221-hess-natur-textilien-ag?utm_source=oberaargau","PROFIL ANSEHEN")</f>
        <v>PROFIL ANSEHEN</v>
      </c>
    </row>
    <row r="4027" spans="1:12" x14ac:dyDescent="0.2">
      <c r="A4027" t="s">
        <v>9630</v>
      </c>
      <c r="B4027" t="s">
        <v>9631</v>
      </c>
      <c r="C4027" t="s">
        <v>13</v>
      </c>
      <c r="D4027" t="s">
        <v>4974</v>
      </c>
      <c r="E4027" t="s">
        <v>3372</v>
      </c>
      <c r="F4027">
        <v>4900</v>
      </c>
      <c r="G4027" t="s">
        <v>41</v>
      </c>
      <c r="H4027" t="s">
        <v>16</v>
      </c>
      <c r="I4027" t="s">
        <v>186</v>
      </c>
      <c r="J4027" t="s">
        <v>187</v>
      </c>
      <c r="K4027" t="s">
        <v>1809</v>
      </c>
      <c r="L4027" t="str">
        <f>HYPERLINK("https://business-monitor.ch/de/companies/591195-gp-partner-ag?utm_source=oberaargau","PROFIL ANSEHEN")</f>
        <v>PROFIL ANSEHEN</v>
      </c>
    </row>
    <row r="4028" spans="1:12" x14ac:dyDescent="0.2">
      <c r="A4028" t="s">
        <v>2879</v>
      </c>
      <c r="B4028" t="s">
        <v>2880</v>
      </c>
      <c r="C4028" t="s">
        <v>202</v>
      </c>
      <c r="E4028" t="s">
        <v>2881</v>
      </c>
      <c r="F4028">
        <v>4922</v>
      </c>
      <c r="G4028" t="s">
        <v>1318</v>
      </c>
      <c r="H4028" t="s">
        <v>16</v>
      </c>
      <c r="I4028" t="s">
        <v>781</v>
      </c>
      <c r="J4028" t="s">
        <v>782</v>
      </c>
      <c r="K4028" t="s">
        <v>1809</v>
      </c>
      <c r="L4028" t="str">
        <f>HYPERLINK("https://business-monitor.ch/de/companies/407659-luedi-service-technik-gmbh?utm_source=oberaargau","PROFIL ANSEHEN")</f>
        <v>PROFIL ANSEHEN</v>
      </c>
    </row>
    <row r="4029" spans="1:12" x14ac:dyDescent="0.2">
      <c r="A4029" t="s">
        <v>9537</v>
      </c>
      <c r="B4029" t="s">
        <v>9538</v>
      </c>
      <c r="C4029" t="s">
        <v>202</v>
      </c>
      <c r="D4029" t="s">
        <v>9539</v>
      </c>
      <c r="E4029" t="s">
        <v>9540</v>
      </c>
      <c r="F4029">
        <v>4900</v>
      </c>
      <c r="G4029" t="s">
        <v>41</v>
      </c>
      <c r="H4029" t="s">
        <v>16</v>
      </c>
      <c r="I4029" t="s">
        <v>551</v>
      </c>
      <c r="J4029" t="s">
        <v>552</v>
      </c>
      <c r="K4029" t="s">
        <v>1809</v>
      </c>
      <c r="L4029" t="str">
        <f>HYPERLINK("https://business-monitor.ch/de/companies/657748-hugentobler-beratungen-gmbh?utm_source=oberaargau","PROFIL ANSEHEN")</f>
        <v>PROFIL ANSEHEN</v>
      </c>
    </row>
    <row r="4030" spans="1:12" x14ac:dyDescent="0.2">
      <c r="A4030" t="s">
        <v>13986</v>
      </c>
      <c r="B4030" t="s">
        <v>13987</v>
      </c>
      <c r="C4030" t="s">
        <v>202</v>
      </c>
      <c r="E4030" t="s">
        <v>550</v>
      </c>
      <c r="F4030">
        <v>4900</v>
      </c>
      <c r="G4030" t="s">
        <v>41</v>
      </c>
      <c r="H4030" t="s">
        <v>16</v>
      </c>
      <c r="I4030" t="s">
        <v>5034</v>
      </c>
      <c r="J4030" t="s">
        <v>5035</v>
      </c>
      <c r="K4030" t="s">
        <v>1809</v>
      </c>
      <c r="L4030" t="str">
        <f>HYPERLINK("https://business-monitor.ch/de/companies/1281515-mystitch-gmbh?utm_source=oberaargau","PROFIL ANSEHEN")</f>
        <v>PROFIL ANSEHEN</v>
      </c>
    </row>
    <row r="4031" spans="1:12" x14ac:dyDescent="0.2">
      <c r="A4031" t="s">
        <v>13969</v>
      </c>
      <c r="B4031" t="s">
        <v>13970</v>
      </c>
      <c r="C4031" t="s">
        <v>202</v>
      </c>
      <c r="E4031" t="s">
        <v>13971</v>
      </c>
      <c r="F4031">
        <v>4900</v>
      </c>
      <c r="G4031" t="s">
        <v>41</v>
      </c>
      <c r="H4031" t="s">
        <v>16</v>
      </c>
      <c r="I4031" t="s">
        <v>824</v>
      </c>
      <c r="J4031" t="s">
        <v>825</v>
      </c>
      <c r="K4031" t="s">
        <v>1809</v>
      </c>
      <c r="L4031" t="str">
        <f>HYPERLINK("https://business-monitor.ch/de/companies/1280780-trube-langenthal-gmbh?utm_source=oberaargau","PROFIL ANSEHEN")</f>
        <v>PROFIL ANSEHEN</v>
      </c>
    </row>
    <row r="4032" spans="1:12" x14ac:dyDescent="0.2">
      <c r="A4032" t="s">
        <v>1019</v>
      </c>
      <c r="B4032" t="s">
        <v>8008</v>
      </c>
      <c r="C4032" t="s">
        <v>1812</v>
      </c>
      <c r="E4032" t="s">
        <v>8009</v>
      </c>
      <c r="F4032">
        <v>3360</v>
      </c>
      <c r="G4032" t="s">
        <v>35</v>
      </c>
      <c r="H4032" t="s">
        <v>16</v>
      </c>
      <c r="I4032" t="s">
        <v>4577</v>
      </c>
      <c r="J4032" t="s">
        <v>4578</v>
      </c>
      <c r="K4032" t="s">
        <v>1809</v>
      </c>
      <c r="L4032" t="str">
        <f>HYPERLINK("https://business-monitor.ch/de/companies/207367-beyer-herbert?utm_source=oberaargau","PROFIL ANSEHEN")</f>
        <v>PROFIL ANSEHEN</v>
      </c>
    </row>
    <row r="4033" spans="1:12" x14ac:dyDescent="0.2">
      <c r="A4033" t="s">
        <v>4513</v>
      </c>
      <c r="B4033" t="s">
        <v>4514</v>
      </c>
      <c r="C4033" t="s">
        <v>13</v>
      </c>
      <c r="E4033" t="s">
        <v>4515</v>
      </c>
      <c r="F4033">
        <v>4900</v>
      </c>
      <c r="G4033" t="s">
        <v>41</v>
      </c>
      <c r="H4033" t="s">
        <v>16</v>
      </c>
      <c r="I4033" t="s">
        <v>845</v>
      </c>
      <c r="J4033" t="s">
        <v>846</v>
      </c>
      <c r="K4033" t="s">
        <v>1809</v>
      </c>
      <c r="L4033" t="str">
        <f>HYPERLINK("https://business-monitor.ch/de/companies/692852-asag-asbest-und-schadstoffsanierung-ag?utm_source=oberaargau","PROFIL ANSEHEN")</f>
        <v>PROFIL ANSEHEN</v>
      </c>
    </row>
    <row r="4034" spans="1:12" x14ac:dyDescent="0.2">
      <c r="A4034" t="s">
        <v>7169</v>
      </c>
      <c r="B4034" t="s">
        <v>7170</v>
      </c>
      <c r="C4034" t="s">
        <v>202</v>
      </c>
      <c r="E4034" t="s">
        <v>195</v>
      </c>
      <c r="F4034">
        <v>4538</v>
      </c>
      <c r="G4034" t="s">
        <v>71</v>
      </c>
      <c r="H4034" t="s">
        <v>16</v>
      </c>
      <c r="I4034" t="s">
        <v>551</v>
      </c>
      <c r="J4034" t="s">
        <v>552</v>
      </c>
      <c r="K4034" t="s">
        <v>1809</v>
      </c>
      <c r="L4034" t="str">
        <f>HYPERLINK("https://business-monitor.ch/de/companies/689968-supplychange-gmbh?utm_source=oberaargau","PROFIL ANSEHEN")</f>
        <v>PROFIL ANSEHEN</v>
      </c>
    </row>
    <row r="4035" spans="1:12" x14ac:dyDescent="0.2">
      <c r="A4035" t="s">
        <v>11036</v>
      </c>
      <c r="B4035" t="s">
        <v>11037</v>
      </c>
      <c r="C4035" t="s">
        <v>202</v>
      </c>
      <c r="E4035" t="s">
        <v>11038</v>
      </c>
      <c r="F4035">
        <v>4537</v>
      </c>
      <c r="G4035" t="s">
        <v>113</v>
      </c>
      <c r="H4035" t="s">
        <v>16</v>
      </c>
      <c r="I4035" t="s">
        <v>2665</v>
      </c>
      <c r="J4035" t="s">
        <v>2666</v>
      </c>
      <c r="K4035" t="s">
        <v>1809</v>
      </c>
      <c r="L4035" t="str">
        <f>HYPERLINK("https://business-monitor.ch/de/companies/1117425-vitamin-bildung-gmbh?utm_source=oberaargau","PROFIL ANSEHEN")</f>
        <v>PROFIL ANSEHEN</v>
      </c>
    </row>
    <row r="4036" spans="1:12" x14ac:dyDescent="0.2">
      <c r="A4036" t="s">
        <v>5206</v>
      </c>
      <c r="B4036" t="s">
        <v>5207</v>
      </c>
      <c r="C4036" t="s">
        <v>1812</v>
      </c>
      <c r="E4036" t="s">
        <v>5208</v>
      </c>
      <c r="F4036">
        <v>4914</v>
      </c>
      <c r="G4036" t="s">
        <v>717</v>
      </c>
      <c r="H4036" t="s">
        <v>16</v>
      </c>
      <c r="I4036" t="s">
        <v>570</v>
      </c>
      <c r="J4036" t="s">
        <v>571</v>
      </c>
      <c r="K4036" t="s">
        <v>1809</v>
      </c>
      <c r="L4036" t="str">
        <f>HYPERLINK("https://business-monitor.ch/de/companies/155369-samuel-wyssen?utm_source=oberaargau","PROFIL ANSEHEN")</f>
        <v>PROFIL ANSEHEN</v>
      </c>
    </row>
    <row r="4037" spans="1:12" x14ac:dyDescent="0.2">
      <c r="A4037" t="s">
        <v>9564</v>
      </c>
      <c r="B4037" t="s">
        <v>9565</v>
      </c>
      <c r="C4037" t="s">
        <v>13</v>
      </c>
      <c r="E4037" t="s">
        <v>3190</v>
      </c>
      <c r="F4037">
        <v>4900</v>
      </c>
      <c r="G4037" t="s">
        <v>41</v>
      </c>
      <c r="H4037" t="s">
        <v>16</v>
      </c>
      <c r="I4037" t="s">
        <v>186</v>
      </c>
      <c r="J4037" t="s">
        <v>187</v>
      </c>
      <c r="K4037" t="s">
        <v>1809</v>
      </c>
      <c r="L4037" t="str">
        <f>HYPERLINK("https://business-monitor.ch/de/companies/1052234-byron-ag?utm_source=oberaargau","PROFIL ANSEHEN")</f>
        <v>PROFIL ANSEHEN</v>
      </c>
    </row>
    <row r="4038" spans="1:12" x14ac:dyDescent="0.2">
      <c r="A4038" t="s">
        <v>7001</v>
      </c>
      <c r="B4038" t="s">
        <v>7002</v>
      </c>
      <c r="C4038" t="s">
        <v>202</v>
      </c>
      <c r="E4038" t="s">
        <v>7003</v>
      </c>
      <c r="F4038">
        <v>4954</v>
      </c>
      <c r="G4038" t="s">
        <v>359</v>
      </c>
      <c r="H4038" t="s">
        <v>16</v>
      </c>
      <c r="I4038" t="s">
        <v>624</v>
      </c>
      <c r="J4038" t="s">
        <v>625</v>
      </c>
      <c r="K4038" t="s">
        <v>1809</v>
      </c>
      <c r="L4038" t="str">
        <f>HYPERLINK("https://business-monitor.ch/de/companies/730899-steffen-holzbau-gmbh?utm_source=oberaargau","PROFIL ANSEHEN")</f>
        <v>PROFIL ANSEHEN</v>
      </c>
    </row>
    <row r="4039" spans="1:12" x14ac:dyDescent="0.2">
      <c r="A4039" t="s">
        <v>7269</v>
      </c>
      <c r="B4039" t="s">
        <v>7270</v>
      </c>
      <c r="C4039" t="s">
        <v>2258</v>
      </c>
      <c r="D4039" t="s">
        <v>7271</v>
      </c>
      <c r="E4039" t="s">
        <v>7272</v>
      </c>
      <c r="F4039">
        <v>4912</v>
      </c>
      <c r="G4039" t="s">
        <v>64</v>
      </c>
      <c r="H4039" t="s">
        <v>16</v>
      </c>
      <c r="I4039" t="s">
        <v>640</v>
      </c>
      <c r="J4039" t="s">
        <v>641</v>
      </c>
      <c r="K4039" t="s">
        <v>1809</v>
      </c>
      <c r="L4039" t="str">
        <f>HYPERLINK("https://business-monitor.ch/de/companies/1014894-big-chance-for-dogs?utm_source=oberaargau","PROFIL ANSEHEN")</f>
        <v>PROFIL ANSEHEN</v>
      </c>
    </row>
    <row r="4040" spans="1:12" x14ac:dyDescent="0.2">
      <c r="A4040" t="s">
        <v>13909</v>
      </c>
      <c r="B4040" t="s">
        <v>13910</v>
      </c>
      <c r="C4040" t="s">
        <v>202</v>
      </c>
      <c r="E4040" t="s">
        <v>13911</v>
      </c>
      <c r="F4040">
        <v>4900</v>
      </c>
      <c r="G4040" t="s">
        <v>41</v>
      </c>
      <c r="H4040" t="s">
        <v>16</v>
      </c>
      <c r="I4040" t="s">
        <v>260</v>
      </c>
      <c r="J4040" t="s">
        <v>261</v>
      </c>
      <c r="K4040" t="s">
        <v>1809</v>
      </c>
      <c r="L4040" t="str">
        <f>HYPERLINK("https://business-monitor.ch/de/companies/698456-lena-bauplanung-gmbh?utm_source=oberaargau","PROFIL ANSEHEN")</f>
        <v>PROFIL ANSEHEN</v>
      </c>
    </row>
    <row r="4041" spans="1:12" x14ac:dyDescent="0.2">
      <c r="A4041" t="s">
        <v>14196</v>
      </c>
      <c r="B4041" t="s">
        <v>14197</v>
      </c>
      <c r="C4041" t="s">
        <v>1812</v>
      </c>
      <c r="E4041" t="s">
        <v>2341</v>
      </c>
      <c r="F4041">
        <v>4900</v>
      </c>
      <c r="G4041" t="s">
        <v>41</v>
      </c>
      <c r="H4041" t="s">
        <v>16</v>
      </c>
      <c r="I4041" t="s">
        <v>340</v>
      </c>
      <c r="J4041" t="s">
        <v>341</v>
      </c>
      <c r="K4041" t="s">
        <v>1809</v>
      </c>
      <c r="L4041" t="str">
        <f>HYPERLINK("https://business-monitor.ch/de/companies/1294741-swiss-angel-inh-seitzinger?utm_source=oberaargau","PROFIL ANSEHEN")</f>
        <v>PROFIL ANSEHEN</v>
      </c>
    </row>
    <row r="4042" spans="1:12" x14ac:dyDescent="0.2">
      <c r="A4042" t="s">
        <v>13199</v>
      </c>
      <c r="B4042" t="s">
        <v>13200</v>
      </c>
      <c r="C4042" t="s">
        <v>1827</v>
      </c>
      <c r="E4042" t="s">
        <v>3922</v>
      </c>
      <c r="F4042">
        <v>4537</v>
      </c>
      <c r="G4042" t="s">
        <v>113</v>
      </c>
      <c r="H4042" t="s">
        <v>16</v>
      </c>
      <c r="I4042" t="s">
        <v>24</v>
      </c>
      <c r="J4042" t="s">
        <v>25</v>
      </c>
      <c r="K4042" t="s">
        <v>1809</v>
      </c>
      <c r="L4042" t="str">
        <f>HYPERLINK("https://business-monitor.ch/de/companies/1233417-bohso-klg?utm_source=oberaargau","PROFIL ANSEHEN")</f>
        <v>PROFIL ANSEHEN</v>
      </c>
    </row>
    <row r="4043" spans="1:12" x14ac:dyDescent="0.2">
      <c r="A4043" t="s">
        <v>6975</v>
      </c>
      <c r="B4043" t="s">
        <v>6976</v>
      </c>
      <c r="C4043" t="s">
        <v>13</v>
      </c>
      <c r="E4043" t="s">
        <v>6977</v>
      </c>
      <c r="F4043">
        <v>4937</v>
      </c>
      <c r="G4043" t="s">
        <v>951</v>
      </c>
      <c r="H4043" t="s">
        <v>16</v>
      </c>
      <c r="I4043" t="s">
        <v>624</v>
      </c>
      <c r="J4043" t="s">
        <v>625</v>
      </c>
      <c r="K4043" t="s">
        <v>1809</v>
      </c>
      <c r="L4043" t="str">
        <f>HYPERLINK("https://business-monitor.ch/de/companies/1012636-zaho-holzbau-ag?utm_source=oberaargau","PROFIL ANSEHEN")</f>
        <v>PROFIL ANSEHEN</v>
      </c>
    </row>
    <row r="4044" spans="1:12" x14ac:dyDescent="0.2">
      <c r="A4044" t="s">
        <v>7298</v>
      </c>
      <c r="B4044" t="s">
        <v>7299</v>
      </c>
      <c r="C4044" t="s">
        <v>1812</v>
      </c>
      <c r="E4044" t="s">
        <v>6607</v>
      </c>
      <c r="F4044">
        <v>4938</v>
      </c>
      <c r="G4044" t="s">
        <v>618</v>
      </c>
      <c r="H4044" t="s">
        <v>16</v>
      </c>
      <c r="I4044" t="s">
        <v>2939</v>
      </c>
      <c r="J4044" t="s">
        <v>2940</v>
      </c>
      <c r="K4044" t="s">
        <v>1809</v>
      </c>
      <c r="L4044" t="str">
        <f>HYPERLINK("https://business-monitor.ch/de/companies/1007966-orient-teppichservice-karpowicz-andrzej?utm_source=oberaargau","PROFIL ANSEHEN")</f>
        <v>PROFIL ANSEHEN</v>
      </c>
    </row>
    <row r="4045" spans="1:12" x14ac:dyDescent="0.2">
      <c r="A4045" t="s">
        <v>13736</v>
      </c>
      <c r="B4045" t="s">
        <v>13737</v>
      </c>
      <c r="C4045" t="s">
        <v>1812</v>
      </c>
      <c r="E4045" t="s">
        <v>13738</v>
      </c>
      <c r="F4045">
        <v>4900</v>
      </c>
      <c r="G4045" t="s">
        <v>41</v>
      </c>
      <c r="H4045" t="s">
        <v>16</v>
      </c>
      <c r="I4045" t="s">
        <v>1835</v>
      </c>
      <c r="J4045" t="s">
        <v>1836</v>
      </c>
      <c r="K4045" t="s">
        <v>1809</v>
      </c>
      <c r="L4045" t="str">
        <f>HYPERLINK("https://business-monitor.ch/de/companies/1255301-majljinda-mehmeti-profix-360-reinigung?utm_source=oberaargau","PROFIL ANSEHEN")</f>
        <v>PROFIL ANSEHEN</v>
      </c>
    </row>
    <row r="4046" spans="1:12" x14ac:dyDescent="0.2">
      <c r="A4046" t="s">
        <v>6792</v>
      </c>
      <c r="B4046" t="s">
        <v>6793</v>
      </c>
      <c r="C4046" t="s">
        <v>202</v>
      </c>
      <c r="E4046" t="s">
        <v>1426</v>
      </c>
      <c r="F4046">
        <v>4912</v>
      </c>
      <c r="G4046" t="s">
        <v>64</v>
      </c>
      <c r="H4046" t="s">
        <v>16</v>
      </c>
      <c r="I4046" t="s">
        <v>6794</v>
      </c>
      <c r="J4046" t="s">
        <v>6795</v>
      </c>
      <c r="K4046" t="s">
        <v>1809</v>
      </c>
      <c r="L4046" t="str">
        <f>HYPERLINK("https://business-monitor.ch/de/companies/96205-rukop-transfinanz-gmbh?utm_source=oberaargau","PROFIL ANSEHEN")</f>
        <v>PROFIL ANSEHEN</v>
      </c>
    </row>
    <row r="4047" spans="1:12" x14ac:dyDescent="0.2">
      <c r="A4047" t="s">
        <v>11177</v>
      </c>
      <c r="B4047" t="s">
        <v>11178</v>
      </c>
      <c r="C4047" t="s">
        <v>13</v>
      </c>
      <c r="D4047" t="s">
        <v>11179</v>
      </c>
      <c r="E4047" t="s">
        <v>11180</v>
      </c>
      <c r="F4047">
        <v>3360</v>
      </c>
      <c r="G4047" t="s">
        <v>35</v>
      </c>
      <c r="H4047" t="s">
        <v>16</v>
      </c>
      <c r="I4047" t="s">
        <v>186</v>
      </c>
      <c r="J4047" t="s">
        <v>187</v>
      </c>
      <c r="K4047" t="s">
        <v>1809</v>
      </c>
      <c r="L4047" t="str">
        <f>HYPERLINK("https://business-monitor.ch/de/companies/1134692-pgal-ag?utm_source=oberaargau","PROFIL ANSEHEN")</f>
        <v>PROFIL ANSEHEN</v>
      </c>
    </row>
    <row r="4048" spans="1:12" x14ac:dyDescent="0.2">
      <c r="A4048" t="s">
        <v>5338</v>
      </c>
      <c r="B4048" t="s">
        <v>5339</v>
      </c>
      <c r="C4048" t="s">
        <v>1827</v>
      </c>
      <c r="E4048" t="s">
        <v>5340</v>
      </c>
      <c r="F4048">
        <v>4912</v>
      </c>
      <c r="G4048" t="s">
        <v>64</v>
      </c>
      <c r="H4048" t="s">
        <v>16</v>
      </c>
      <c r="I4048" t="s">
        <v>1818</v>
      </c>
      <c r="J4048" t="s">
        <v>1819</v>
      </c>
      <c r="K4048" t="s">
        <v>1809</v>
      </c>
      <c r="L4048" t="str">
        <f>HYPERLINK("https://business-monitor.ch/de/companies/442644-addea-partner-beratungen?utm_source=oberaargau","PROFIL ANSEHEN")</f>
        <v>PROFIL ANSEHEN</v>
      </c>
    </row>
    <row r="4049" spans="1:12" x14ac:dyDescent="0.2">
      <c r="A4049" t="s">
        <v>13886</v>
      </c>
      <c r="B4049" t="s">
        <v>13887</v>
      </c>
      <c r="C4049" t="s">
        <v>202</v>
      </c>
      <c r="E4049" t="s">
        <v>2862</v>
      </c>
      <c r="F4049">
        <v>4900</v>
      </c>
      <c r="G4049" t="s">
        <v>41</v>
      </c>
      <c r="H4049" t="s">
        <v>16</v>
      </c>
      <c r="I4049" t="s">
        <v>260</v>
      </c>
      <c r="J4049" t="s">
        <v>261</v>
      </c>
      <c r="K4049" t="s">
        <v>1809</v>
      </c>
      <c r="L4049" t="str">
        <f>HYPERLINK("https://business-monitor.ch/de/companies/1272317-primus-fokus-gmbh?utm_source=oberaargau","PROFIL ANSEHEN")</f>
        <v>PROFIL ANSEHEN</v>
      </c>
    </row>
    <row r="4050" spans="1:12" x14ac:dyDescent="0.2">
      <c r="A4050" t="s">
        <v>7722</v>
      </c>
      <c r="B4050" t="s">
        <v>7723</v>
      </c>
      <c r="C4050" t="s">
        <v>13</v>
      </c>
      <c r="E4050" t="s">
        <v>7724</v>
      </c>
      <c r="F4050">
        <v>3360</v>
      </c>
      <c r="G4050" t="s">
        <v>35</v>
      </c>
      <c r="H4050" t="s">
        <v>16</v>
      </c>
      <c r="I4050" t="s">
        <v>157</v>
      </c>
      <c r="J4050" t="s">
        <v>158</v>
      </c>
      <c r="K4050" t="s">
        <v>1809</v>
      </c>
      <c r="L4050" t="str">
        <f>HYPERLINK("https://business-monitor.ch/de/companies/595159-muellerbuchsimmo-ag?utm_source=oberaargau","PROFIL ANSEHEN")</f>
        <v>PROFIL ANSEHEN</v>
      </c>
    </row>
    <row r="4051" spans="1:12" x14ac:dyDescent="0.2">
      <c r="A4051" t="s">
        <v>6524</v>
      </c>
      <c r="B4051" t="s">
        <v>6525</v>
      </c>
      <c r="C4051" t="s">
        <v>13</v>
      </c>
      <c r="E4051" t="s">
        <v>6526</v>
      </c>
      <c r="F4051">
        <v>4912</v>
      </c>
      <c r="G4051" t="s">
        <v>64</v>
      </c>
      <c r="H4051" t="s">
        <v>16</v>
      </c>
      <c r="I4051" t="s">
        <v>1535</v>
      </c>
      <c r="J4051" t="s">
        <v>1536</v>
      </c>
      <c r="K4051" t="s">
        <v>1809</v>
      </c>
      <c r="L4051" t="str">
        <f>HYPERLINK("https://business-monitor.ch/de/companies/238019-wild-gartenbau-ag?utm_source=oberaargau","PROFIL ANSEHEN")</f>
        <v>PROFIL ANSEHEN</v>
      </c>
    </row>
    <row r="4052" spans="1:12" x14ac:dyDescent="0.2">
      <c r="A4052" t="s">
        <v>6799</v>
      </c>
      <c r="B4052" t="s">
        <v>6800</v>
      </c>
      <c r="C4052" t="s">
        <v>13</v>
      </c>
      <c r="E4052" t="s">
        <v>6801</v>
      </c>
      <c r="F4052">
        <v>3380</v>
      </c>
      <c r="G4052" t="s">
        <v>29</v>
      </c>
      <c r="H4052" t="s">
        <v>16</v>
      </c>
      <c r="I4052" t="s">
        <v>175</v>
      </c>
      <c r="J4052" t="s">
        <v>176</v>
      </c>
      <c r="K4052" t="s">
        <v>1809</v>
      </c>
      <c r="L4052" t="str">
        <f>HYPERLINK("https://business-monitor.ch/de/companies/94783-cama-carrosserie-malerei-ag?utm_source=oberaargau","PROFIL ANSEHEN")</f>
        <v>PROFIL ANSEHEN</v>
      </c>
    </row>
    <row r="4053" spans="1:12" x14ac:dyDescent="0.2">
      <c r="A4053" t="s">
        <v>11317</v>
      </c>
      <c r="B4053" t="s">
        <v>11318</v>
      </c>
      <c r="C4053" t="s">
        <v>202</v>
      </c>
      <c r="E4053" t="s">
        <v>14015</v>
      </c>
      <c r="F4053">
        <v>3362</v>
      </c>
      <c r="G4053" t="s">
        <v>47</v>
      </c>
      <c r="H4053" t="s">
        <v>16</v>
      </c>
      <c r="I4053" t="s">
        <v>917</v>
      </c>
      <c r="J4053" t="s">
        <v>918</v>
      </c>
      <c r="K4053" t="s">
        <v>1809</v>
      </c>
      <c r="L4053" t="str">
        <f>HYPERLINK("https://business-monitor.ch/de/companies/1125703-lighthouse-engineering-gmbh?utm_source=oberaargau","PROFIL ANSEHEN")</f>
        <v>PROFIL ANSEHEN</v>
      </c>
    </row>
    <row r="4054" spans="1:12" x14ac:dyDescent="0.2">
      <c r="A4054" t="s">
        <v>2442</v>
      </c>
      <c r="B4054" t="s">
        <v>2443</v>
      </c>
      <c r="C4054" t="s">
        <v>1812</v>
      </c>
      <c r="E4054" t="s">
        <v>2444</v>
      </c>
      <c r="F4054">
        <v>4900</v>
      </c>
      <c r="G4054" t="s">
        <v>41</v>
      </c>
      <c r="H4054" t="s">
        <v>16</v>
      </c>
      <c r="I4054" t="s">
        <v>2445</v>
      </c>
      <c r="J4054" t="s">
        <v>2446</v>
      </c>
      <c r="K4054" t="s">
        <v>1809</v>
      </c>
      <c r="L4054" t="str">
        <f>HYPERLINK("https://business-monitor.ch/de/companies/309781-cap-informatik?utm_source=oberaargau","PROFIL ANSEHEN")</f>
        <v>PROFIL ANSEHEN</v>
      </c>
    </row>
    <row r="4055" spans="1:12" x14ac:dyDescent="0.2">
      <c r="A4055" t="s">
        <v>5200</v>
      </c>
      <c r="B4055" t="s">
        <v>5201</v>
      </c>
      <c r="C4055" t="s">
        <v>202</v>
      </c>
      <c r="E4055" t="s">
        <v>5202</v>
      </c>
      <c r="F4055">
        <v>4900</v>
      </c>
      <c r="G4055" t="s">
        <v>41</v>
      </c>
      <c r="H4055" t="s">
        <v>16</v>
      </c>
      <c r="I4055" t="s">
        <v>475</v>
      </c>
      <c r="J4055" t="s">
        <v>476</v>
      </c>
      <c r="K4055" t="s">
        <v>1809</v>
      </c>
      <c r="L4055" t="str">
        <f>HYPERLINK("https://business-monitor.ch/de/companies/221282-epla-automation-gmbh?utm_source=oberaargau","PROFIL ANSEHEN")</f>
        <v>PROFIL ANSEHEN</v>
      </c>
    </row>
    <row r="4056" spans="1:12" x14ac:dyDescent="0.2">
      <c r="A4056" t="s">
        <v>11407</v>
      </c>
      <c r="B4056" t="s">
        <v>11408</v>
      </c>
      <c r="C4056" t="s">
        <v>13</v>
      </c>
      <c r="E4056" t="s">
        <v>11397</v>
      </c>
      <c r="F4056">
        <v>4922</v>
      </c>
      <c r="G4056" t="s">
        <v>1318</v>
      </c>
      <c r="H4056" t="s">
        <v>16</v>
      </c>
      <c r="I4056" t="s">
        <v>4582</v>
      </c>
      <c r="J4056" t="s">
        <v>4583</v>
      </c>
      <c r="K4056" t="s">
        <v>1809</v>
      </c>
      <c r="L4056" t="str">
        <f>HYPERLINK("https://business-monitor.ch/de/companies/1136012-schwarz-forstunternehmung-ag?utm_source=oberaargau","PROFIL ANSEHEN")</f>
        <v>PROFIL ANSEHEN</v>
      </c>
    </row>
    <row r="4057" spans="1:12" x14ac:dyDescent="0.2">
      <c r="A4057" t="s">
        <v>13228</v>
      </c>
      <c r="B4057" t="s">
        <v>9100</v>
      </c>
      <c r="C4057" t="s">
        <v>13</v>
      </c>
      <c r="E4057" t="s">
        <v>9101</v>
      </c>
      <c r="F4057">
        <v>3362</v>
      </c>
      <c r="G4057" t="s">
        <v>47</v>
      </c>
      <c r="H4057" t="s">
        <v>16</v>
      </c>
      <c r="I4057" t="s">
        <v>331</v>
      </c>
      <c r="J4057" t="s">
        <v>332</v>
      </c>
      <c r="K4057" t="s">
        <v>1809</v>
      </c>
      <c r="L4057" t="str">
        <f>HYPERLINK("https://business-monitor.ch/de/companies/1241730-holu-ag?utm_source=oberaargau","PROFIL ANSEHEN")</f>
        <v>PROFIL ANSEHEN</v>
      </c>
    </row>
    <row r="4058" spans="1:12" x14ac:dyDescent="0.2">
      <c r="A4058" t="s">
        <v>10738</v>
      </c>
      <c r="B4058" t="s">
        <v>10739</v>
      </c>
      <c r="C4058" t="s">
        <v>202</v>
      </c>
      <c r="E4058" t="s">
        <v>6152</v>
      </c>
      <c r="F4058">
        <v>4536</v>
      </c>
      <c r="G4058" t="s">
        <v>1395</v>
      </c>
      <c r="H4058" t="s">
        <v>16</v>
      </c>
      <c r="I4058" t="s">
        <v>77</v>
      </c>
      <c r="J4058" t="s">
        <v>78</v>
      </c>
      <c r="K4058" t="s">
        <v>1809</v>
      </c>
      <c r="L4058" t="str">
        <f>HYPERLINK("https://business-monitor.ch/de/companies/1095834-hqg-gmbh?utm_source=oberaargau","PROFIL ANSEHEN")</f>
        <v>PROFIL ANSEHEN</v>
      </c>
    </row>
    <row r="4059" spans="1:12" x14ac:dyDescent="0.2">
      <c r="A4059" t="s">
        <v>5258</v>
      </c>
      <c r="B4059" t="s">
        <v>5259</v>
      </c>
      <c r="C4059" t="s">
        <v>1812</v>
      </c>
      <c r="F4059">
        <v>4954</v>
      </c>
      <c r="G4059" t="s">
        <v>359</v>
      </c>
      <c r="H4059" t="s">
        <v>16</v>
      </c>
      <c r="I4059" t="s">
        <v>59</v>
      </c>
      <c r="J4059" t="s">
        <v>60</v>
      </c>
      <c r="K4059" t="s">
        <v>1809</v>
      </c>
      <c r="L4059" t="str">
        <f>HYPERLINK("https://business-monitor.ch/de/companies/85309-niederhauser-faessler?utm_source=oberaargau","PROFIL ANSEHEN")</f>
        <v>PROFIL ANSEHEN</v>
      </c>
    </row>
    <row r="4060" spans="1:12" x14ac:dyDescent="0.2">
      <c r="A4060" t="s">
        <v>10000</v>
      </c>
      <c r="B4060" t="s">
        <v>10001</v>
      </c>
      <c r="C4060" t="s">
        <v>1812</v>
      </c>
      <c r="E4060" t="s">
        <v>11082</v>
      </c>
      <c r="F4060">
        <v>4538</v>
      </c>
      <c r="G4060" t="s">
        <v>71</v>
      </c>
      <c r="H4060" t="s">
        <v>16</v>
      </c>
      <c r="I4060" t="s">
        <v>1485</v>
      </c>
      <c r="J4060" t="s">
        <v>1486</v>
      </c>
      <c r="K4060" t="s">
        <v>1809</v>
      </c>
      <c r="L4060" t="str">
        <f>HYPERLINK("https://business-monitor.ch/de/companies/724511-oesterreichische-genussstube-maria-knoebl?utm_source=oberaargau","PROFIL ANSEHEN")</f>
        <v>PROFIL ANSEHEN</v>
      </c>
    </row>
    <row r="4061" spans="1:12" x14ac:dyDescent="0.2">
      <c r="A4061" t="s">
        <v>3378</v>
      </c>
      <c r="B4061" t="s">
        <v>4986</v>
      </c>
      <c r="C4061" t="s">
        <v>202</v>
      </c>
      <c r="E4061" t="s">
        <v>4987</v>
      </c>
      <c r="F4061">
        <v>4900</v>
      </c>
      <c r="G4061" t="s">
        <v>41</v>
      </c>
      <c r="H4061" t="s">
        <v>16</v>
      </c>
      <c r="I4061" t="s">
        <v>4039</v>
      </c>
      <c r="J4061" t="s">
        <v>4040</v>
      </c>
      <c r="K4061" t="s">
        <v>1809</v>
      </c>
      <c r="L4061" t="str">
        <f>HYPERLINK("https://business-monitor.ch/de/companies/222796-puls-gmbh?utm_source=oberaargau","PROFIL ANSEHEN")</f>
        <v>PROFIL ANSEHEN</v>
      </c>
    </row>
    <row r="4062" spans="1:12" x14ac:dyDescent="0.2">
      <c r="A4062" t="s">
        <v>9752</v>
      </c>
      <c r="B4062" t="s">
        <v>9753</v>
      </c>
      <c r="C4062" t="s">
        <v>1812</v>
      </c>
      <c r="E4062" t="s">
        <v>9754</v>
      </c>
      <c r="F4062">
        <v>4914</v>
      </c>
      <c r="G4062" t="s">
        <v>105</v>
      </c>
      <c r="H4062" t="s">
        <v>16</v>
      </c>
      <c r="I4062" t="s">
        <v>642</v>
      </c>
      <c r="J4062" t="s">
        <v>643</v>
      </c>
      <c r="K4062" t="s">
        <v>1809</v>
      </c>
      <c r="L4062" t="str">
        <f>HYPERLINK("https://business-monitor.ch/de/companies/1031293-garage-murtezani?utm_source=oberaargau","PROFIL ANSEHEN")</f>
        <v>PROFIL ANSEHEN</v>
      </c>
    </row>
    <row r="4063" spans="1:12" x14ac:dyDescent="0.2">
      <c r="A4063" t="s">
        <v>4140</v>
      </c>
      <c r="B4063" t="s">
        <v>14636</v>
      </c>
      <c r="C4063" t="s">
        <v>202</v>
      </c>
      <c r="E4063" t="s">
        <v>7043</v>
      </c>
      <c r="F4063">
        <v>4911</v>
      </c>
      <c r="G4063" t="s">
        <v>1005</v>
      </c>
      <c r="H4063" t="s">
        <v>16</v>
      </c>
      <c r="I4063" t="s">
        <v>1889</v>
      </c>
      <c r="J4063" t="s">
        <v>1890</v>
      </c>
      <c r="K4063" t="s">
        <v>1809</v>
      </c>
      <c r="L4063" t="str">
        <f>HYPERLINK("https://business-monitor.ch/de/companies/1051080-auto-express-zk-gmbh?utm_source=oberaargau","PROFIL ANSEHEN")</f>
        <v>PROFIL ANSEHEN</v>
      </c>
    </row>
    <row r="4064" spans="1:12" x14ac:dyDescent="0.2">
      <c r="A4064" t="s">
        <v>13463</v>
      </c>
      <c r="B4064" t="s">
        <v>13464</v>
      </c>
      <c r="C4064" t="s">
        <v>202</v>
      </c>
      <c r="D4064" t="s">
        <v>13465</v>
      </c>
      <c r="E4064" t="s">
        <v>13466</v>
      </c>
      <c r="F4064">
        <v>3360</v>
      </c>
      <c r="G4064" t="s">
        <v>35</v>
      </c>
      <c r="H4064" t="s">
        <v>16</v>
      </c>
      <c r="I4064" t="s">
        <v>157</v>
      </c>
      <c r="J4064" t="s">
        <v>158</v>
      </c>
      <c r="K4064" t="s">
        <v>1809</v>
      </c>
      <c r="L4064" t="str">
        <f>HYPERLINK("https://business-monitor.ch/de/companies/1249373-grunder-ruf-immobilien-gmbh?utm_source=oberaargau","PROFIL ANSEHEN")</f>
        <v>PROFIL ANSEHEN</v>
      </c>
    </row>
    <row r="4065" spans="1:12" x14ac:dyDescent="0.2">
      <c r="A4065" t="s">
        <v>4868</v>
      </c>
      <c r="B4065" t="s">
        <v>4869</v>
      </c>
      <c r="C4065" t="s">
        <v>202</v>
      </c>
      <c r="E4065" t="s">
        <v>4870</v>
      </c>
      <c r="F4065">
        <v>4536</v>
      </c>
      <c r="G4065" t="s">
        <v>1395</v>
      </c>
      <c r="H4065" t="s">
        <v>16</v>
      </c>
      <c r="I4065" t="s">
        <v>1470</v>
      </c>
      <c r="J4065" t="s">
        <v>1471</v>
      </c>
      <c r="K4065" t="s">
        <v>1809</v>
      </c>
      <c r="L4065" t="str">
        <f>HYPERLINK("https://business-monitor.ch/de/companies/530851-hohl-haustechnik-gmbh?utm_source=oberaargau","PROFIL ANSEHEN")</f>
        <v>PROFIL ANSEHEN</v>
      </c>
    </row>
    <row r="4066" spans="1:12" x14ac:dyDescent="0.2">
      <c r="A4066" t="s">
        <v>3916</v>
      </c>
      <c r="B4066" t="s">
        <v>3917</v>
      </c>
      <c r="C4066" t="s">
        <v>1827</v>
      </c>
      <c r="E4066" t="s">
        <v>3190</v>
      </c>
      <c r="F4066">
        <v>4900</v>
      </c>
      <c r="G4066" t="s">
        <v>41</v>
      </c>
      <c r="H4066" t="s">
        <v>16</v>
      </c>
      <c r="I4066" t="s">
        <v>1528</v>
      </c>
      <c r="J4066" t="s">
        <v>1529</v>
      </c>
      <c r="K4066" t="s">
        <v>1809</v>
      </c>
      <c r="L4066" t="str">
        <f>HYPERLINK("https://business-monitor.ch/de/companies/730535-nota-tax-klg?utm_source=oberaargau","PROFIL ANSEHEN")</f>
        <v>PROFIL ANSEHEN</v>
      </c>
    </row>
    <row r="4067" spans="1:12" x14ac:dyDescent="0.2">
      <c r="A4067" t="s">
        <v>8999</v>
      </c>
      <c r="B4067" t="s">
        <v>9000</v>
      </c>
      <c r="C4067" t="s">
        <v>1812</v>
      </c>
      <c r="E4067" t="s">
        <v>9001</v>
      </c>
      <c r="F4067">
        <v>4938</v>
      </c>
      <c r="G4067" t="s">
        <v>618</v>
      </c>
      <c r="H4067" t="s">
        <v>16</v>
      </c>
      <c r="I4067" t="s">
        <v>854</v>
      </c>
      <c r="J4067" t="s">
        <v>855</v>
      </c>
      <c r="K4067" t="s">
        <v>1809</v>
      </c>
      <c r="L4067" t="str">
        <f>HYPERLINK("https://business-monitor.ch/de/companies/239152-rgl-shop-r-greub?utm_source=oberaargau","PROFIL ANSEHEN")</f>
        <v>PROFIL ANSEHEN</v>
      </c>
    </row>
    <row r="4068" spans="1:12" x14ac:dyDescent="0.2">
      <c r="A4068" t="s">
        <v>4444</v>
      </c>
      <c r="B4068" t="s">
        <v>4445</v>
      </c>
      <c r="C4068" t="s">
        <v>13</v>
      </c>
      <c r="E4068" t="s">
        <v>1047</v>
      </c>
      <c r="F4068">
        <v>3360</v>
      </c>
      <c r="G4068" t="s">
        <v>35</v>
      </c>
      <c r="H4068" t="s">
        <v>16</v>
      </c>
      <c r="I4068" t="s">
        <v>845</v>
      </c>
      <c r="J4068" t="s">
        <v>846</v>
      </c>
      <c r="K4068" t="s">
        <v>1809</v>
      </c>
      <c r="L4068" t="str">
        <f>HYPERLINK("https://business-monitor.ch/de/companies/732162-bbs-tech-ag?utm_source=oberaargau","PROFIL ANSEHEN")</f>
        <v>PROFIL ANSEHEN</v>
      </c>
    </row>
    <row r="4069" spans="1:12" x14ac:dyDescent="0.2">
      <c r="A4069" t="s">
        <v>4914</v>
      </c>
      <c r="B4069" t="s">
        <v>4915</v>
      </c>
      <c r="C4069" t="s">
        <v>84</v>
      </c>
      <c r="D4069" t="s">
        <v>4916</v>
      </c>
      <c r="E4069" t="s">
        <v>4917</v>
      </c>
      <c r="F4069">
        <v>4913</v>
      </c>
      <c r="G4069" t="s">
        <v>207</v>
      </c>
      <c r="H4069" t="s">
        <v>16</v>
      </c>
      <c r="I4069" t="s">
        <v>4918</v>
      </c>
      <c r="J4069" t="s">
        <v>4919</v>
      </c>
      <c r="K4069" t="s">
        <v>1809</v>
      </c>
      <c r="L4069" t="str">
        <f>HYPERLINK("https://business-monitor.ch/de/companies/37816-landwirtschaftliche-genossenschaft-bannwil?utm_source=oberaargau","PROFIL ANSEHEN")</f>
        <v>PROFIL ANSEHEN</v>
      </c>
    </row>
    <row r="4070" spans="1:12" x14ac:dyDescent="0.2">
      <c r="A4070" t="s">
        <v>13530</v>
      </c>
      <c r="B4070" t="s">
        <v>13531</v>
      </c>
      <c r="C4070" t="s">
        <v>202</v>
      </c>
      <c r="E4070" t="s">
        <v>2862</v>
      </c>
      <c r="F4070">
        <v>4900</v>
      </c>
      <c r="G4070" t="s">
        <v>41</v>
      </c>
      <c r="H4070" t="s">
        <v>16</v>
      </c>
      <c r="I4070" t="s">
        <v>1865</v>
      </c>
      <c r="J4070" t="s">
        <v>1866</v>
      </c>
      <c r="K4070" t="s">
        <v>1809</v>
      </c>
      <c r="L4070" t="str">
        <f>HYPERLINK("https://business-monitor.ch/de/companies/1261495-uurs-umzug-und-reinigung-schweiz-gmbh?utm_source=oberaargau","PROFIL ANSEHEN")</f>
        <v>PROFIL ANSEHEN</v>
      </c>
    </row>
    <row r="4071" spans="1:12" x14ac:dyDescent="0.2">
      <c r="A4071" t="s">
        <v>2277</v>
      </c>
      <c r="B4071" t="s">
        <v>2278</v>
      </c>
      <c r="C4071" t="s">
        <v>202</v>
      </c>
      <c r="D4071" t="s">
        <v>2279</v>
      </c>
      <c r="E4071" t="s">
        <v>14637</v>
      </c>
      <c r="F4071">
        <v>4950</v>
      </c>
      <c r="G4071" t="s">
        <v>15</v>
      </c>
      <c r="H4071" t="s">
        <v>16</v>
      </c>
      <c r="I4071" t="s">
        <v>1062</v>
      </c>
      <c r="J4071" t="s">
        <v>1063</v>
      </c>
      <c r="K4071" t="s">
        <v>1809</v>
      </c>
      <c r="L4071" t="str">
        <f>HYPERLINK("https://business-monitor.ch/de/companies/302888-peter-walker-gmbh?utm_source=oberaargau","PROFIL ANSEHEN")</f>
        <v>PROFIL ANSEHEN</v>
      </c>
    </row>
    <row r="4072" spans="1:12" x14ac:dyDescent="0.2">
      <c r="A4072" t="s">
        <v>13541</v>
      </c>
      <c r="B4072" t="s">
        <v>13542</v>
      </c>
      <c r="C4072" t="s">
        <v>202</v>
      </c>
      <c r="E4072" t="s">
        <v>1094</v>
      </c>
      <c r="F4072">
        <v>4900</v>
      </c>
      <c r="G4072" t="s">
        <v>41</v>
      </c>
      <c r="H4072" t="s">
        <v>16</v>
      </c>
      <c r="I4072" t="s">
        <v>824</v>
      </c>
      <c r="J4072" t="s">
        <v>825</v>
      </c>
      <c r="K4072" t="s">
        <v>1809</v>
      </c>
      <c r="L4072" t="str">
        <f>HYPERLINK("https://business-monitor.ch/de/companies/1261724-memo-imbiss-gmbh?utm_source=oberaargau","PROFIL ANSEHEN")</f>
        <v>PROFIL ANSEHEN</v>
      </c>
    </row>
    <row r="4073" spans="1:12" x14ac:dyDescent="0.2">
      <c r="A4073" t="s">
        <v>4718</v>
      </c>
      <c r="B4073" t="s">
        <v>4719</v>
      </c>
      <c r="C4073" t="s">
        <v>202</v>
      </c>
      <c r="E4073" t="s">
        <v>2969</v>
      </c>
      <c r="F4073">
        <v>4536</v>
      </c>
      <c r="G4073" t="s">
        <v>1395</v>
      </c>
      <c r="H4073" t="s">
        <v>16</v>
      </c>
      <c r="I4073" t="s">
        <v>824</v>
      </c>
      <c r="J4073" t="s">
        <v>825</v>
      </c>
      <c r="K4073" t="s">
        <v>1809</v>
      </c>
      <c r="L4073" t="str">
        <f>HYPERLINK("https://business-monitor.ch/de/companies/592284-boigordo-sarl?utm_source=oberaargau","PROFIL ANSEHEN")</f>
        <v>PROFIL ANSEHEN</v>
      </c>
    </row>
    <row r="4074" spans="1:12" x14ac:dyDescent="0.2">
      <c r="A4074" t="s">
        <v>10003</v>
      </c>
      <c r="B4074" t="s">
        <v>10004</v>
      </c>
      <c r="C4074" t="s">
        <v>202</v>
      </c>
      <c r="E4074" t="s">
        <v>2073</v>
      </c>
      <c r="F4074">
        <v>3360</v>
      </c>
      <c r="G4074" t="s">
        <v>35</v>
      </c>
      <c r="H4074" t="s">
        <v>16</v>
      </c>
      <c r="I4074" t="s">
        <v>1918</v>
      </c>
      <c r="J4074" t="s">
        <v>1919</v>
      </c>
      <c r="K4074" t="s">
        <v>1809</v>
      </c>
      <c r="L4074" t="str">
        <f>HYPERLINK("https://business-monitor.ch/de/companies/722665-leist-optik-gmbh?utm_source=oberaargau","PROFIL ANSEHEN")</f>
        <v>PROFIL ANSEHEN</v>
      </c>
    </row>
    <row r="4075" spans="1:12" x14ac:dyDescent="0.2">
      <c r="A4075" t="s">
        <v>2264</v>
      </c>
      <c r="B4075" t="s">
        <v>8010</v>
      </c>
      <c r="C4075" t="s">
        <v>202</v>
      </c>
      <c r="E4075" t="s">
        <v>8011</v>
      </c>
      <c r="F4075">
        <v>4937</v>
      </c>
      <c r="G4075" t="s">
        <v>951</v>
      </c>
      <c r="H4075" t="s">
        <v>16</v>
      </c>
      <c r="I4075" t="s">
        <v>24</v>
      </c>
      <c r="J4075" t="s">
        <v>25</v>
      </c>
      <c r="K4075" t="s">
        <v>1809</v>
      </c>
      <c r="L4075" t="str">
        <f>HYPERLINK("https://business-monitor.ch/de/companies/347532-pit-team-gmbh?utm_source=oberaargau","PROFIL ANSEHEN")</f>
        <v>PROFIL ANSEHEN</v>
      </c>
    </row>
    <row r="4076" spans="1:12" x14ac:dyDescent="0.2">
      <c r="A4076" t="s">
        <v>5262</v>
      </c>
      <c r="B4076" t="s">
        <v>5263</v>
      </c>
      <c r="C4076" t="s">
        <v>1812</v>
      </c>
      <c r="E4076" t="s">
        <v>4402</v>
      </c>
      <c r="F4076">
        <v>4536</v>
      </c>
      <c r="G4076" t="s">
        <v>1395</v>
      </c>
      <c r="H4076" t="s">
        <v>16</v>
      </c>
      <c r="I4076" t="s">
        <v>3253</v>
      </c>
      <c r="J4076" t="s">
        <v>3254</v>
      </c>
      <c r="K4076" t="s">
        <v>1809</v>
      </c>
      <c r="L4076" t="str">
        <f>HYPERLINK("https://business-monitor.ch/de/companies/304496-frey-metzgerei?utm_source=oberaargau","PROFIL ANSEHEN")</f>
        <v>PROFIL ANSEHEN</v>
      </c>
    </row>
    <row r="4077" spans="1:12" x14ac:dyDescent="0.2">
      <c r="A4077" t="s">
        <v>5252</v>
      </c>
      <c r="B4077" t="s">
        <v>5253</v>
      </c>
      <c r="C4077" t="s">
        <v>1812</v>
      </c>
      <c r="E4077" t="s">
        <v>5254</v>
      </c>
      <c r="F4077">
        <v>3380</v>
      </c>
      <c r="G4077" t="s">
        <v>29</v>
      </c>
      <c r="H4077" t="s">
        <v>16</v>
      </c>
      <c r="I4077" t="s">
        <v>331</v>
      </c>
      <c r="J4077" t="s">
        <v>332</v>
      </c>
      <c r="K4077" t="s">
        <v>1809</v>
      </c>
      <c r="L4077" t="str">
        <f>HYPERLINK("https://business-monitor.ch/de/companies/155371-manumech-roger-kaeppeli?utm_source=oberaargau","PROFIL ANSEHEN")</f>
        <v>PROFIL ANSEHEN</v>
      </c>
    </row>
    <row r="4078" spans="1:12" x14ac:dyDescent="0.2">
      <c r="A4078" t="s">
        <v>9047</v>
      </c>
      <c r="B4078" t="s">
        <v>9048</v>
      </c>
      <c r="C4078" t="s">
        <v>1812</v>
      </c>
      <c r="E4078" t="s">
        <v>9049</v>
      </c>
      <c r="F4078">
        <v>4950</v>
      </c>
      <c r="G4078" t="s">
        <v>15</v>
      </c>
      <c r="H4078" t="s">
        <v>16</v>
      </c>
      <c r="I4078" t="s">
        <v>2496</v>
      </c>
      <c r="J4078" t="s">
        <v>2497</v>
      </c>
      <c r="K4078" t="s">
        <v>1809</v>
      </c>
      <c r="L4078" t="str">
        <f>HYPERLINK("https://business-monitor.ch/de/companies/208008-schuepbach-rudolf-elektrotechn-apparate-inhaber-rudolf-schuepbach?utm_source=oberaargau","PROFIL ANSEHEN")</f>
        <v>PROFIL ANSEHEN</v>
      </c>
    </row>
    <row r="4079" spans="1:12" x14ac:dyDescent="0.2">
      <c r="A4079" t="s">
        <v>976</v>
      </c>
      <c r="B4079" t="s">
        <v>977</v>
      </c>
      <c r="C4079" t="s">
        <v>202</v>
      </c>
      <c r="E4079" t="s">
        <v>978</v>
      </c>
      <c r="F4079">
        <v>3380</v>
      </c>
      <c r="G4079" t="s">
        <v>29</v>
      </c>
      <c r="H4079" t="s">
        <v>16</v>
      </c>
      <c r="I4079" t="s">
        <v>24</v>
      </c>
      <c r="J4079" t="s">
        <v>25</v>
      </c>
      <c r="K4079" t="s">
        <v>1809</v>
      </c>
      <c r="L4079" t="str">
        <f>HYPERLINK("https://business-monitor.ch/de/companies/245099-calac-gmbh?utm_source=oberaargau","PROFIL ANSEHEN")</f>
        <v>PROFIL ANSEHEN</v>
      </c>
    </row>
    <row r="4080" spans="1:12" x14ac:dyDescent="0.2">
      <c r="A4080" t="s">
        <v>12679</v>
      </c>
      <c r="B4080" t="s">
        <v>12680</v>
      </c>
      <c r="C4080" t="s">
        <v>1812</v>
      </c>
      <c r="E4080" t="s">
        <v>1834</v>
      </c>
      <c r="F4080">
        <v>3360</v>
      </c>
      <c r="G4080" t="s">
        <v>35</v>
      </c>
      <c r="H4080" t="s">
        <v>16</v>
      </c>
      <c r="I4080" t="s">
        <v>2213</v>
      </c>
      <c r="J4080" t="s">
        <v>2214</v>
      </c>
      <c r="K4080" t="s">
        <v>1809</v>
      </c>
      <c r="L4080" t="str">
        <f>HYPERLINK("https://business-monitor.ch/de/companies/1213533-san-pamuk?utm_source=oberaargau","PROFIL ANSEHEN")</f>
        <v>PROFIL ANSEHEN</v>
      </c>
    </row>
    <row r="4081" spans="1:12" x14ac:dyDescent="0.2">
      <c r="A4081" t="s">
        <v>6942</v>
      </c>
      <c r="B4081" t="s">
        <v>11733</v>
      </c>
      <c r="C4081" t="s">
        <v>202</v>
      </c>
      <c r="E4081" t="s">
        <v>11734</v>
      </c>
      <c r="F4081">
        <v>4704</v>
      </c>
      <c r="G4081" t="s">
        <v>221</v>
      </c>
      <c r="H4081" t="s">
        <v>16</v>
      </c>
      <c r="I4081" t="s">
        <v>153</v>
      </c>
      <c r="J4081" t="s">
        <v>154</v>
      </c>
      <c r="K4081" t="s">
        <v>1809</v>
      </c>
      <c r="L4081" t="str">
        <f>HYPERLINK("https://business-monitor.ch/de/companies/1162037-mining-evolution-gmbh?utm_source=oberaargau","PROFIL ANSEHEN")</f>
        <v>PROFIL ANSEHEN</v>
      </c>
    </row>
    <row r="4082" spans="1:12" x14ac:dyDescent="0.2">
      <c r="A4082" t="s">
        <v>4638</v>
      </c>
      <c r="B4082" t="s">
        <v>4639</v>
      </c>
      <c r="C4082" t="s">
        <v>202</v>
      </c>
      <c r="E4082" t="s">
        <v>4640</v>
      </c>
      <c r="F4082">
        <v>4900</v>
      </c>
      <c r="G4082" t="s">
        <v>41</v>
      </c>
      <c r="H4082" t="s">
        <v>16</v>
      </c>
      <c r="I4082" t="s">
        <v>4641</v>
      </c>
      <c r="J4082" t="s">
        <v>4642</v>
      </c>
      <c r="K4082" t="s">
        <v>1809</v>
      </c>
      <c r="L4082" t="str">
        <f>HYPERLINK("https://business-monitor.ch/de/companies/623946-dhg-reha-soccer-eishockey-center-gmbh?utm_source=oberaargau","PROFIL ANSEHEN")</f>
        <v>PROFIL ANSEHEN</v>
      </c>
    </row>
    <row r="4083" spans="1:12" x14ac:dyDescent="0.2">
      <c r="A4083" t="s">
        <v>4166</v>
      </c>
      <c r="B4083" t="s">
        <v>4167</v>
      </c>
      <c r="C4083" t="s">
        <v>1812</v>
      </c>
      <c r="E4083" t="s">
        <v>3774</v>
      </c>
      <c r="F4083">
        <v>4704</v>
      </c>
      <c r="G4083" t="s">
        <v>221</v>
      </c>
      <c r="H4083" t="s">
        <v>16</v>
      </c>
      <c r="I4083" t="s">
        <v>1865</v>
      </c>
      <c r="J4083" t="s">
        <v>1866</v>
      </c>
      <c r="K4083" t="s">
        <v>1809</v>
      </c>
      <c r="L4083" t="str">
        <f>HYPERLINK("https://business-monitor.ch/de/companies/1014140-simon-liegenschaftsdienst?utm_source=oberaargau","PROFIL ANSEHEN")</f>
        <v>PROFIL ANSEHEN</v>
      </c>
    </row>
    <row r="4084" spans="1:12" x14ac:dyDescent="0.2">
      <c r="A4084" t="s">
        <v>11948</v>
      </c>
      <c r="B4084" t="s">
        <v>11949</v>
      </c>
      <c r="C4084" t="s">
        <v>1812</v>
      </c>
      <c r="E4084" t="s">
        <v>11950</v>
      </c>
      <c r="F4084">
        <v>3373</v>
      </c>
      <c r="G4084" t="s">
        <v>2697</v>
      </c>
      <c r="H4084" t="s">
        <v>16</v>
      </c>
      <c r="I4084" t="s">
        <v>2748</v>
      </c>
      <c r="J4084" t="s">
        <v>2749</v>
      </c>
      <c r="K4084" t="s">
        <v>1809</v>
      </c>
      <c r="L4084" t="str">
        <f>HYPERLINK("https://business-monitor.ch/de/companies/1164322-sein-raum-reinmann-jaussi?utm_source=oberaargau","PROFIL ANSEHEN")</f>
        <v>PROFIL ANSEHEN</v>
      </c>
    </row>
    <row r="4085" spans="1:12" x14ac:dyDescent="0.2">
      <c r="A4085" t="s">
        <v>8916</v>
      </c>
      <c r="B4085" t="s">
        <v>8917</v>
      </c>
      <c r="C4085" t="s">
        <v>202</v>
      </c>
      <c r="E4085" t="s">
        <v>8918</v>
      </c>
      <c r="F4085">
        <v>4913</v>
      </c>
      <c r="G4085" t="s">
        <v>207</v>
      </c>
      <c r="H4085" t="s">
        <v>16</v>
      </c>
      <c r="I4085" t="s">
        <v>4171</v>
      </c>
      <c r="J4085" t="s">
        <v>4172</v>
      </c>
      <c r="K4085" t="s">
        <v>1809</v>
      </c>
      <c r="L4085" t="str">
        <f>HYPERLINK("https://business-monitor.ch/de/companies/284922-hubacher-gmbh?utm_source=oberaargau","PROFIL ANSEHEN")</f>
        <v>PROFIL ANSEHEN</v>
      </c>
    </row>
    <row r="4086" spans="1:12" x14ac:dyDescent="0.2">
      <c r="A4086" t="s">
        <v>3026</v>
      </c>
      <c r="B4086" t="s">
        <v>3027</v>
      </c>
      <c r="C4086" t="s">
        <v>13</v>
      </c>
      <c r="E4086" t="s">
        <v>3028</v>
      </c>
      <c r="F4086">
        <v>4900</v>
      </c>
      <c r="G4086" t="s">
        <v>41</v>
      </c>
      <c r="H4086" t="s">
        <v>16</v>
      </c>
      <c r="I4086" t="s">
        <v>2496</v>
      </c>
      <c r="J4086" t="s">
        <v>2497</v>
      </c>
      <c r="K4086" t="s">
        <v>1809</v>
      </c>
      <c r="L4086" t="str">
        <f>HYPERLINK("https://business-monitor.ch/de/companies/141243-hegel-ag?utm_source=oberaargau","PROFIL ANSEHEN")</f>
        <v>PROFIL ANSEHEN</v>
      </c>
    </row>
    <row r="4087" spans="1:12" x14ac:dyDescent="0.2">
      <c r="A4087" t="s">
        <v>9388</v>
      </c>
      <c r="B4087" t="s">
        <v>9389</v>
      </c>
      <c r="C4087" t="s">
        <v>1922</v>
      </c>
      <c r="F4087">
        <v>4914</v>
      </c>
      <c r="G4087" t="s">
        <v>105</v>
      </c>
      <c r="H4087" t="s">
        <v>16</v>
      </c>
      <c r="I4087" t="s">
        <v>1924</v>
      </c>
      <c r="J4087" t="s">
        <v>1925</v>
      </c>
      <c r="K4087" t="s">
        <v>1809</v>
      </c>
      <c r="L4087" t="str">
        <f>HYPERLINK("https://business-monitor.ch/de/companies/58893-stiftung-lanz-kohler?utm_source=oberaargau","PROFIL ANSEHEN")</f>
        <v>PROFIL ANSEHEN</v>
      </c>
    </row>
    <row r="4088" spans="1:12" x14ac:dyDescent="0.2">
      <c r="A4088" t="s">
        <v>13746</v>
      </c>
      <c r="B4088" t="s">
        <v>13747</v>
      </c>
      <c r="C4088" t="s">
        <v>202</v>
      </c>
      <c r="D4088" t="s">
        <v>13748</v>
      </c>
      <c r="E4088" t="s">
        <v>13749</v>
      </c>
      <c r="F4088">
        <v>4935</v>
      </c>
      <c r="G4088" t="s">
        <v>443</v>
      </c>
      <c r="H4088" t="s">
        <v>16</v>
      </c>
      <c r="I4088" t="s">
        <v>24</v>
      </c>
      <c r="J4088" t="s">
        <v>25</v>
      </c>
      <c r="K4088" t="s">
        <v>1809</v>
      </c>
      <c r="L4088" t="str">
        <f>HYPERLINK("https://business-monitor.ch/de/companies/1264187-automata-gmbh?utm_source=oberaargau","PROFIL ANSEHEN")</f>
        <v>PROFIL ANSEHEN</v>
      </c>
    </row>
    <row r="4089" spans="1:12" x14ac:dyDescent="0.2">
      <c r="A4089" t="s">
        <v>6786</v>
      </c>
      <c r="B4089" t="s">
        <v>6787</v>
      </c>
      <c r="C4089" t="s">
        <v>13</v>
      </c>
      <c r="E4089" t="s">
        <v>2634</v>
      </c>
      <c r="F4089">
        <v>4932</v>
      </c>
      <c r="G4089" t="s">
        <v>325</v>
      </c>
      <c r="H4089" t="s">
        <v>16</v>
      </c>
      <c r="I4089" t="s">
        <v>157</v>
      </c>
      <c r="J4089" t="s">
        <v>158</v>
      </c>
      <c r="K4089" t="s">
        <v>1809</v>
      </c>
      <c r="L4089" t="str">
        <f>HYPERLINK("https://business-monitor.ch/de/companies/96330-tow-ag?utm_source=oberaargau","PROFIL ANSEHEN")</f>
        <v>PROFIL ANSEHEN</v>
      </c>
    </row>
    <row r="4090" spans="1:12" x14ac:dyDescent="0.2">
      <c r="A4090" t="s">
        <v>11916</v>
      </c>
      <c r="B4090" t="s">
        <v>11917</v>
      </c>
      <c r="C4090" t="s">
        <v>202</v>
      </c>
      <c r="E4090" t="s">
        <v>4125</v>
      </c>
      <c r="F4090">
        <v>3380</v>
      </c>
      <c r="G4090" t="s">
        <v>29</v>
      </c>
      <c r="H4090" t="s">
        <v>16</v>
      </c>
      <c r="I4090" t="s">
        <v>2748</v>
      </c>
      <c r="J4090" t="s">
        <v>2749</v>
      </c>
      <c r="K4090" t="s">
        <v>1809</v>
      </c>
      <c r="L4090" t="str">
        <f>HYPERLINK("https://business-monitor.ch/de/companies/1163865-that-s-me-coaching-gmbh?utm_source=oberaargau","PROFIL ANSEHEN")</f>
        <v>PROFIL ANSEHEN</v>
      </c>
    </row>
    <row r="4091" spans="1:12" x14ac:dyDescent="0.2">
      <c r="A4091" t="s">
        <v>10479</v>
      </c>
      <c r="B4091" t="s">
        <v>10480</v>
      </c>
      <c r="C4091" t="s">
        <v>1812</v>
      </c>
      <c r="E4091" t="s">
        <v>14638</v>
      </c>
      <c r="F4091">
        <v>4950</v>
      </c>
      <c r="G4091" t="s">
        <v>15</v>
      </c>
      <c r="H4091" t="s">
        <v>16</v>
      </c>
      <c r="I4091" t="s">
        <v>6550</v>
      </c>
      <c r="J4091" t="s">
        <v>6551</v>
      </c>
      <c r="K4091" t="s">
        <v>1809</v>
      </c>
      <c r="L4091" t="str">
        <f>HYPERLINK("https://business-monitor.ch/de/companies/196517-juerg-zuercher?utm_source=oberaargau","PROFIL ANSEHEN")</f>
        <v>PROFIL ANSEHEN</v>
      </c>
    </row>
    <row r="4092" spans="1:12" x14ac:dyDescent="0.2">
      <c r="A4092" t="s">
        <v>5124</v>
      </c>
      <c r="B4092" t="s">
        <v>5125</v>
      </c>
      <c r="C4092" t="s">
        <v>1812</v>
      </c>
      <c r="E4092" t="s">
        <v>5126</v>
      </c>
      <c r="F4092">
        <v>3360</v>
      </c>
      <c r="G4092" t="s">
        <v>35</v>
      </c>
      <c r="H4092" t="s">
        <v>16</v>
      </c>
      <c r="I4092" t="s">
        <v>232</v>
      </c>
      <c r="J4092" t="s">
        <v>233</v>
      </c>
      <c r="K4092" t="s">
        <v>1809</v>
      </c>
      <c r="L4092" t="str">
        <f>HYPERLINK("https://business-monitor.ch/de/companies/204537-christen-treuhand?utm_source=oberaargau","PROFIL ANSEHEN")</f>
        <v>PROFIL ANSEHEN</v>
      </c>
    </row>
    <row r="4093" spans="1:12" x14ac:dyDescent="0.2">
      <c r="A4093" t="s">
        <v>5106</v>
      </c>
      <c r="B4093" t="s">
        <v>5107</v>
      </c>
      <c r="C4093" t="s">
        <v>1812</v>
      </c>
      <c r="E4093" t="s">
        <v>5108</v>
      </c>
      <c r="F4093">
        <v>4536</v>
      </c>
      <c r="G4093" t="s">
        <v>1395</v>
      </c>
      <c r="H4093" t="s">
        <v>16</v>
      </c>
      <c r="I4093" t="s">
        <v>2445</v>
      </c>
      <c r="J4093" t="s">
        <v>2446</v>
      </c>
      <c r="K4093" t="s">
        <v>1809</v>
      </c>
      <c r="L4093" t="str">
        <f>HYPERLINK("https://business-monitor.ch/de/companies/213960-fuhrer-consulting?utm_source=oberaargau","PROFIL ANSEHEN")</f>
        <v>PROFIL ANSEHEN</v>
      </c>
    </row>
    <row r="4094" spans="1:12" x14ac:dyDescent="0.2">
      <c r="A4094" t="s">
        <v>6980</v>
      </c>
      <c r="B4094" t="s">
        <v>6981</v>
      </c>
      <c r="C4094" t="s">
        <v>2178</v>
      </c>
      <c r="E4094" t="s">
        <v>1495</v>
      </c>
      <c r="F4094">
        <v>4950</v>
      </c>
      <c r="G4094" t="s">
        <v>15</v>
      </c>
      <c r="H4094" t="s">
        <v>16</v>
      </c>
      <c r="I4094" t="s">
        <v>955</v>
      </c>
      <c r="J4094" t="s">
        <v>956</v>
      </c>
      <c r="K4094" t="s">
        <v>1809</v>
      </c>
      <c r="L4094" t="str">
        <f>HYPERLINK("https://business-monitor.ch/de/companies/981009-marmobisa-ag?utm_source=oberaargau","PROFIL ANSEHEN")</f>
        <v>PROFIL ANSEHEN</v>
      </c>
    </row>
    <row r="4095" spans="1:12" x14ac:dyDescent="0.2">
      <c r="A4095" t="s">
        <v>4413</v>
      </c>
      <c r="B4095" t="s">
        <v>4414</v>
      </c>
      <c r="C4095" t="s">
        <v>202</v>
      </c>
      <c r="E4095" t="s">
        <v>4415</v>
      </c>
      <c r="F4095">
        <v>4704</v>
      </c>
      <c r="G4095" t="s">
        <v>221</v>
      </c>
      <c r="H4095" t="s">
        <v>16</v>
      </c>
      <c r="I4095" t="s">
        <v>1936</v>
      </c>
      <c r="J4095" t="s">
        <v>1937</v>
      </c>
      <c r="K4095" t="s">
        <v>1809</v>
      </c>
      <c r="L4095" t="str">
        <f>HYPERLINK("https://business-monitor.ch/de/companies/935977-brand-tech-gmbh?utm_source=oberaargau","PROFIL ANSEHEN")</f>
        <v>PROFIL ANSEHEN</v>
      </c>
    </row>
    <row r="4096" spans="1:12" x14ac:dyDescent="0.2">
      <c r="A4096" t="s">
        <v>7159</v>
      </c>
      <c r="B4096" t="s">
        <v>7160</v>
      </c>
      <c r="C4096" t="s">
        <v>1812</v>
      </c>
      <c r="E4096" t="s">
        <v>7161</v>
      </c>
      <c r="F4096">
        <v>4704</v>
      </c>
      <c r="G4096" t="s">
        <v>221</v>
      </c>
      <c r="H4096" t="s">
        <v>16</v>
      </c>
      <c r="I4096" t="s">
        <v>1981</v>
      </c>
      <c r="J4096" t="s">
        <v>1982</v>
      </c>
      <c r="K4096" t="s">
        <v>1809</v>
      </c>
      <c r="L4096" t="str">
        <f>HYPERLINK("https://business-monitor.ch/de/companies/935958-kristallhimmel-n-suter?utm_source=oberaargau","PROFIL ANSEHEN")</f>
        <v>PROFIL ANSEHEN</v>
      </c>
    </row>
    <row r="4097" spans="1:12" x14ac:dyDescent="0.2">
      <c r="A4097" t="s">
        <v>5104</v>
      </c>
      <c r="B4097" t="s">
        <v>5105</v>
      </c>
      <c r="C4097" t="s">
        <v>1827</v>
      </c>
      <c r="E4097" t="s">
        <v>1190</v>
      </c>
      <c r="F4097">
        <v>4900</v>
      </c>
      <c r="G4097" t="s">
        <v>41</v>
      </c>
      <c r="H4097" t="s">
        <v>16</v>
      </c>
      <c r="I4097" t="s">
        <v>260</v>
      </c>
      <c r="J4097" t="s">
        <v>261</v>
      </c>
      <c r="K4097" t="s">
        <v>1809</v>
      </c>
      <c r="L4097" t="str">
        <f>HYPERLINK("https://business-monitor.ch/de/companies/283635-ernst-nyffeler-architekturbuero?utm_source=oberaargau","PROFIL ANSEHEN")</f>
        <v>PROFIL ANSEHEN</v>
      </c>
    </row>
    <row r="4098" spans="1:12" x14ac:dyDescent="0.2">
      <c r="A4098" t="s">
        <v>8104</v>
      </c>
      <c r="B4098" t="s">
        <v>8105</v>
      </c>
      <c r="C4098" t="s">
        <v>13</v>
      </c>
      <c r="E4098" t="s">
        <v>6737</v>
      </c>
      <c r="F4098">
        <v>4934</v>
      </c>
      <c r="G4098" t="s">
        <v>670</v>
      </c>
      <c r="H4098" t="s">
        <v>16</v>
      </c>
      <c r="I4098" t="s">
        <v>1350</v>
      </c>
      <c r="J4098" t="s">
        <v>1351</v>
      </c>
      <c r="K4098" t="s">
        <v>1809</v>
      </c>
      <c r="L4098" t="str">
        <f>HYPERLINK("https://business-monitor.ch/de/companies/1058985-m-gerber-ag-tiefbau-erdarbeiten?utm_source=oberaargau","PROFIL ANSEHEN")</f>
        <v>PROFIL ANSEHEN</v>
      </c>
    </row>
    <row r="4099" spans="1:12" x14ac:dyDescent="0.2">
      <c r="A4099" t="s">
        <v>6466</v>
      </c>
      <c r="B4099" t="s">
        <v>6467</v>
      </c>
      <c r="C4099" t="s">
        <v>1812</v>
      </c>
      <c r="E4099" t="s">
        <v>6468</v>
      </c>
      <c r="F4099">
        <v>4900</v>
      </c>
      <c r="G4099" t="s">
        <v>41</v>
      </c>
      <c r="H4099" t="s">
        <v>16</v>
      </c>
      <c r="I4099" t="s">
        <v>551</v>
      </c>
      <c r="J4099" t="s">
        <v>552</v>
      </c>
      <c r="K4099" t="s">
        <v>1809</v>
      </c>
      <c r="L4099" t="str">
        <f>HYPERLINK("https://business-monitor.ch/de/companies/264661-prof-dr-reto-steiner-organisationsberatung?utm_source=oberaargau","PROFIL ANSEHEN")</f>
        <v>PROFIL ANSEHEN</v>
      </c>
    </row>
    <row r="4100" spans="1:12" x14ac:dyDescent="0.2">
      <c r="A4100" t="s">
        <v>6338</v>
      </c>
      <c r="B4100" t="s">
        <v>6339</v>
      </c>
      <c r="C4100" t="s">
        <v>202</v>
      </c>
      <c r="E4100" t="s">
        <v>6340</v>
      </c>
      <c r="F4100">
        <v>3363</v>
      </c>
      <c r="G4100" t="s">
        <v>1367</v>
      </c>
      <c r="H4100" t="s">
        <v>16</v>
      </c>
      <c r="I4100" t="s">
        <v>3493</v>
      </c>
      <c r="J4100" t="s">
        <v>3494</v>
      </c>
      <c r="K4100" t="s">
        <v>1809</v>
      </c>
      <c r="L4100" t="str">
        <f>HYPERLINK("https://business-monitor.ch/de/companies/324368-ditesco-gmbh?utm_source=oberaargau","PROFIL ANSEHEN")</f>
        <v>PROFIL ANSEHEN</v>
      </c>
    </row>
    <row r="4101" spans="1:12" x14ac:dyDescent="0.2">
      <c r="A4101" t="s">
        <v>9963</v>
      </c>
      <c r="B4101" t="s">
        <v>14362</v>
      </c>
      <c r="C4101" t="s">
        <v>13</v>
      </c>
      <c r="E4101" t="s">
        <v>9964</v>
      </c>
      <c r="F4101">
        <v>4704</v>
      </c>
      <c r="G4101" t="s">
        <v>221</v>
      </c>
      <c r="H4101" t="s">
        <v>16</v>
      </c>
      <c r="I4101" t="s">
        <v>2849</v>
      </c>
      <c r="J4101" t="s">
        <v>2850</v>
      </c>
      <c r="K4101" t="s">
        <v>1809</v>
      </c>
      <c r="L4101" t="str">
        <f>HYPERLINK("https://business-monitor.ch/de/companies/937392-ikub-vor-ort-ag?utm_source=oberaargau","PROFIL ANSEHEN")</f>
        <v>PROFIL ANSEHEN</v>
      </c>
    </row>
    <row r="4102" spans="1:12" x14ac:dyDescent="0.2">
      <c r="A4102" t="s">
        <v>7456</v>
      </c>
      <c r="B4102" t="s">
        <v>7457</v>
      </c>
      <c r="C4102" t="s">
        <v>202</v>
      </c>
      <c r="E4102" t="s">
        <v>10846</v>
      </c>
      <c r="F4102">
        <v>4913</v>
      </c>
      <c r="G4102" t="s">
        <v>207</v>
      </c>
      <c r="H4102" t="s">
        <v>16</v>
      </c>
      <c r="I4102" t="s">
        <v>542</v>
      </c>
      <c r="J4102" t="s">
        <v>543</v>
      </c>
      <c r="K4102" t="s">
        <v>1809</v>
      </c>
      <c r="L4102" t="str">
        <f>HYPERLINK("https://business-monitor.ch/de/companies/937509-spenglerei-lauber-gmbh?utm_source=oberaargau","PROFIL ANSEHEN")</f>
        <v>PROFIL ANSEHEN</v>
      </c>
    </row>
    <row r="4103" spans="1:12" x14ac:dyDescent="0.2">
      <c r="A4103" t="s">
        <v>13671</v>
      </c>
      <c r="B4103" t="s">
        <v>13672</v>
      </c>
      <c r="C4103" t="s">
        <v>1827</v>
      </c>
      <c r="E4103" t="s">
        <v>1469</v>
      </c>
      <c r="F4103">
        <v>3380</v>
      </c>
      <c r="G4103" t="s">
        <v>29</v>
      </c>
      <c r="H4103" t="s">
        <v>16</v>
      </c>
      <c r="I4103" t="s">
        <v>1898</v>
      </c>
      <c r="J4103" t="s">
        <v>1899</v>
      </c>
      <c r="K4103" t="s">
        <v>1809</v>
      </c>
      <c r="L4103" t="str">
        <f>HYPERLINK("https://business-monitor.ch/de/companies/1257708-bite-of-paradise-klg?utm_source=oberaargau","PROFIL ANSEHEN")</f>
        <v>PROFIL ANSEHEN</v>
      </c>
    </row>
    <row r="4104" spans="1:12" x14ac:dyDescent="0.2">
      <c r="A4104" t="s">
        <v>8398</v>
      </c>
      <c r="B4104" t="s">
        <v>8399</v>
      </c>
      <c r="C4104" t="s">
        <v>13</v>
      </c>
      <c r="D4104" t="s">
        <v>8400</v>
      </c>
      <c r="E4104" t="s">
        <v>11004</v>
      </c>
      <c r="F4104">
        <v>4937</v>
      </c>
      <c r="G4104" t="s">
        <v>951</v>
      </c>
      <c r="H4104" t="s">
        <v>16</v>
      </c>
      <c r="I4104" t="s">
        <v>2365</v>
      </c>
      <c r="J4104" t="s">
        <v>2366</v>
      </c>
      <c r="K4104" t="s">
        <v>1809</v>
      </c>
      <c r="L4104" t="str">
        <f>HYPERLINK("https://business-monitor.ch/de/companies/10764-hinterarnialp-aktiengesellschaft?utm_source=oberaargau","PROFIL ANSEHEN")</f>
        <v>PROFIL ANSEHEN</v>
      </c>
    </row>
    <row r="4105" spans="1:12" x14ac:dyDescent="0.2">
      <c r="A4105" t="s">
        <v>7180</v>
      </c>
      <c r="B4105" t="s">
        <v>13458</v>
      </c>
      <c r="C4105" t="s">
        <v>1812</v>
      </c>
      <c r="E4105" t="s">
        <v>13459</v>
      </c>
      <c r="F4105">
        <v>4938</v>
      </c>
      <c r="G4105" t="s">
        <v>618</v>
      </c>
      <c r="H4105" t="s">
        <v>16</v>
      </c>
      <c r="I4105" t="s">
        <v>551</v>
      </c>
      <c r="J4105" t="s">
        <v>552</v>
      </c>
      <c r="K4105" t="s">
        <v>1809</v>
      </c>
      <c r="L4105" t="str">
        <f>HYPERLINK("https://business-monitor.ch/de/companies/1222063-portmann-coaching-mentoring-consulting?utm_source=oberaargau","PROFIL ANSEHEN")</f>
        <v>PROFIL ANSEHEN</v>
      </c>
    </row>
    <row r="4106" spans="1:12" x14ac:dyDescent="0.2">
      <c r="A4106" t="s">
        <v>9422</v>
      </c>
      <c r="B4106" t="s">
        <v>9423</v>
      </c>
      <c r="C4106" t="s">
        <v>84</v>
      </c>
      <c r="D4106" t="s">
        <v>9424</v>
      </c>
      <c r="E4106" t="s">
        <v>2607</v>
      </c>
      <c r="F4106">
        <v>4539</v>
      </c>
      <c r="G4106" t="s">
        <v>23</v>
      </c>
      <c r="H4106" t="s">
        <v>16</v>
      </c>
      <c r="I4106" t="s">
        <v>640</v>
      </c>
      <c r="J4106" t="s">
        <v>641</v>
      </c>
      <c r="K4106" t="s">
        <v>1809</v>
      </c>
      <c r="L4106" t="str">
        <f>HYPERLINK("https://business-monitor.ch/de/companies/18709-alpgenossenschaft-vordere-schmiedenmatt?utm_source=oberaargau","PROFIL ANSEHEN")</f>
        <v>PROFIL ANSEHEN</v>
      </c>
    </row>
    <row r="4107" spans="1:12" x14ac:dyDescent="0.2">
      <c r="A4107" t="s">
        <v>5394</v>
      </c>
      <c r="B4107" t="s">
        <v>5395</v>
      </c>
      <c r="C4107" t="s">
        <v>13</v>
      </c>
      <c r="E4107" t="s">
        <v>5396</v>
      </c>
      <c r="F4107">
        <v>3475</v>
      </c>
      <c r="G4107" t="s">
        <v>965</v>
      </c>
      <c r="H4107" t="s">
        <v>16</v>
      </c>
      <c r="I4107" t="s">
        <v>997</v>
      </c>
      <c r="J4107" t="s">
        <v>998</v>
      </c>
      <c r="K4107" t="s">
        <v>1809</v>
      </c>
      <c r="L4107" t="str">
        <f>HYPERLINK("https://business-monitor.ch/de/companies/294668-moto-lehmann-ag?utm_source=oberaargau","PROFIL ANSEHEN")</f>
        <v>PROFIL ANSEHEN</v>
      </c>
    </row>
    <row r="4108" spans="1:12" x14ac:dyDescent="0.2">
      <c r="A4108" t="s">
        <v>7444</v>
      </c>
      <c r="B4108" t="s">
        <v>7445</v>
      </c>
      <c r="C4108" t="s">
        <v>13</v>
      </c>
      <c r="D4108" t="s">
        <v>7446</v>
      </c>
      <c r="E4108" t="s">
        <v>7447</v>
      </c>
      <c r="F4108">
        <v>3360</v>
      </c>
      <c r="G4108" t="s">
        <v>35</v>
      </c>
      <c r="H4108" t="s">
        <v>16</v>
      </c>
      <c r="I4108" t="s">
        <v>186</v>
      </c>
      <c r="J4108" t="s">
        <v>187</v>
      </c>
      <c r="K4108" t="s">
        <v>1809</v>
      </c>
      <c r="L4108" t="str">
        <f>HYPERLINK("https://business-monitor.ch/de/companies/942022-buchsi-vet-holding-ag?utm_source=oberaargau","PROFIL ANSEHEN")</f>
        <v>PROFIL ANSEHEN</v>
      </c>
    </row>
    <row r="4109" spans="1:12" x14ac:dyDescent="0.2">
      <c r="A4109" t="s">
        <v>13949</v>
      </c>
      <c r="B4109" t="s">
        <v>13950</v>
      </c>
      <c r="C4109" t="s">
        <v>202</v>
      </c>
      <c r="E4109" t="s">
        <v>13951</v>
      </c>
      <c r="F4109">
        <v>3380</v>
      </c>
      <c r="G4109" t="s">
        <v>29</v>
      </c>
      <c r="H4109" t="s">
        <v>16</v>
      </c>
      <c r="I4109" t="s">
        <v>1993</v>
      </c>
      <c r="J4109" t="s">
        <v>1994</v>
      </c>
      <c r="K4109" t="s">
        <v>1809</v>
      </c>
      <c r="L4109" t="str">
        <f>HYPERLINK("https://business-monitor.ch/de/companies/1271382-balsiger-immobilien-gmbh?utm_source=oberaargau","PROFIL ANSEHEN")</f>
        <v>PROFIL ANSEHEN</v>
      </c>
    </row>
    <row r="4110" spans="1:12" x14ac:dyDescent="0.2">
      <c r="A4110" t="s">
        <v>4882</v>
      </c>
      <c r="B4110" t="s">
        <v>4883</v>
      </c>
      <c r="C4110" t="s">
        <v>1812</v>
      </c>
      <c r="E4110" t="s">
        <v>4884</v>
      </c>
      <c r="F4110">
        <v>3360</v>
      </c>
      <c r="G4110" t="s">
        <v>35</v>
      </c>
      <c r="H4110" t="s">
        <v>16</v>
      </c>
      <c r="I4110" t="s">
        <v>824</v>
      </c>
      <c r="J4110" t="s">
        <v>825</v>
      </c>
      <c r="K4110" t="s">
        <v>1809</v>
      </c>
      <c r="L4110" t="str">
        <f>HYPERLINK("https://business-monitor.ch/de/companies/1095347-telci-konerz-42?utm_source=oberaargau","PROFIL ANSEHEN")</f>
        <v>PROFIL ANSEHEN</v>
      </c>
    </row>
    <row r="4111" spans="1:12" x14ac:dyDescent="0.2">
      <c r="A4111" t="s">
        <v>9420</v>
      </c>
      <c r="B4111" t="s">
        <v>11811</v>
      </c>
      <c r="C4111" t="s">
        <v>1812</v>
      </c>
      <c r="E4111" t="s">
        <v>9421</v>
      </c>
      <c r="F4111">
        <v>4923</v>
      </c>
      <c r="G4111" t="s">
        <v>732</v>
      </c>
      <c r="H4111" t="s">
        <v>16</v>
      </c>
      <c r="I4111" t="s">
        <v>679</v>
      </c>
      <c r="J4111" t="s">
        <v>680</v>
      </c>
      <c r="K4111" t="s">
        <v>1809</v>
      </c>
      <c r="L4111" t="str">
        <f>HYPERLINK("https://business-monitor.ch/de/companies/19897-lumen-schreinerei-martin-luescher?utm_source=oberaargau","PROFIL ANSEHEN")</f>
        <v>PROFIL ANSEHEN</v>
      </c>
    </row>
    <row r="4112" spans="1:12" x14ac:dyDescent="0.2">
      <c r="A4112" t="s">
        <v>6242</v>
      </c>
      <c r="B4112" t="s">
        <v>6243</v>
      </c>
      <c r="C4112" t="s">
        <v>1812</v>
      </c>
      <c r="E4112" t="s">
        <v>10864</v>
      </c>
      <c r="F4112">
        <v>4932</v>
      </c>
      <c r="G4112" t="s">
        <v>325</v>
      </c>
      <c r="H4112" t="s">
        <v>16</v>
      </c>
      <c r="I4112" t="s">
        <v>1062</v>
      </c>
      <c r="J4112" t="s">
        <v>1063</v>
      </c>
      <c r="K4112" t="s">
        <v>1809</v>
      </c>
      <c r="L4112" t="str">
        <f>HYPERLINK("https://business-monitor.ch/de/companies/355977-schneeberger-heinz?utm_source=oberaargau","PROFIL ANSEHEN")</f>
        <v>PROFIL ANSEHEN</v>
      </c>
    </row>
    <row r="4113" spans="1:12" x14ac:dyDescent="0.2">
      <c r="A4113" t="s">
        <v>6049</v>
      </c>
      <c r="B4113" t="s">
        <v>6050</v>
      </c>
      <c r="C4113" t="s">
        <v>1812</v>
      </c>
      <c r="E4113" t="s">
        <v>6051</v>
      </c>
      <c r="F4113">
        <v>3380</v>
      </c>
      <c r="G4113" t="s">
        <v>29</v>
      </c>
      <c r="H4113" t="s">
        <v>16</v>
      </c>
      <c r="I4113" t="s">
        <v>551</v>
      </c>
      <c r="J4113" t="s">
        <v>552</v>
      </c>
      <c r="K4113" t="s">
        <v>1809</v>
      </c>
      <c r="L4113" t="str">
        <f>HYPERLINK("https://business-monitor.ch/de/companies/11239-aa-services-kalensky?utm_source=oberaargau","PROFIL ANSEHEN")</f>
        <v>PROFIL ANSEHEN</v>
      </c>
    </row>
    <row r="4114" spans="1:12" x14ac:dyDescent="0.2">
      <c r="A4114" t="s">
        <v>8768</v>
      </c>
      <c r="B4114" t="s">
        <v>8769</v>
      </c>
      <c r="C4114" t="s">
        <v>202</v>
      </c>
      <c r="E4114" t="s">
        <v>8770</v>
      </c>
      <c r="F4114">
        <v>4704</v>
      </c>
      <c r="G4114" t="s">
        <v>3142</v>
      </c>
      <c r="H4114" t="s">
        <v>16</v>
      </c>
      <c r="I4114" t="s">
        <v>59</v>
      </c>
      <c r="J4114" t="s">
        <v>60</v>
      </c>
      <c r="K4114" t="s">
        <v>1809</v>
      </c>
      <c r="L4114" t="str">
        <f>HYPERLINK("https://business-monitor.ch/de/companies/363115-hotel-restaurant-alpenblick-gmbh?utm_source=oberaargau","PROFIL ANSEHEN")</f>
        <v>PROFIL ANSEHEN</v>
      </c>
    </row>
    <row r="4115" spans="1:12" x14ac:dyDescent="0.2">
      <c r="A4115" t="s">
        <v>9879</v>
      </c>
      <c r="B4115" t="s">
        <v>9880</v>
      </c>
      <c r="C4115" t="s">
        <v>202</v>
      </c>
      <c r="E4115" t="s">
        <v>9881</v>
      </c>
      <c r="F4115">
        <v>4914</v>
      </c>
      <c r="G4115" t="s">
        <v>105</v>
      </c>
      <c r="H4115" t="s">
        <v>16</v>
      </c>
      <c r="I4115" t="s">
        <v>186</v>
      </c>
      <c r="J4115" t="s">
        <v>187</v>
      </c>
      <c r="K4115" t="s">
        <v>1809</v>
      </c>
      <c r="L4115" t="str">
        <f>HYPERLINK("https://business-monitor.ch/de/companies/977085-rs-invest-holding-gmbh?utm_source=oberaargau","PROFIL ANSEHEN")</f>
        <v>PROFIL ANSEHEN</v>
      </c>
    </row>
    <row r="4116" spans="1:12" x14ac:dyDescent="0.2">
      <c r="A4116" t="s">
        <v>6166</v>
      </c>
      <c r="B4116" t="s">
        <v>6167</v>
      </c>
      <c r="C4116" t="s">
        <v>202</v>
      </c>
      <c r="E4116" t="s">
        <v>491</v>
      </c>
      <c r="F4116">
        <v>4900</v>
      </c>
      <c r="G4116" t="s">
        <v>41</v>
      </c>
      <c r="H4116" t="s">
        <v>16</v>
      </c>
      <c r="I4116" t="s">
        <v>1267</v>
      </c>
      <c r="J4116" t="s">
        <v>1268</v>
      </c>
      <c r="K4116" t="s">
        <v>1809</v>
      </c>
      <c r="L4116" t="str">
        <f>HYPERLINK("https://business-monitor.ch/de/companies/388287-qualipreis-ch-gmbh?utm_source=oberaargau","PROFIL ANSEHEN")</f>
        <v>PROFIL ANSEHEN</v>
      </c>
    </row>
    <row r="4117" spans="1:12" x14ac:dyDescent="0.2">
      <c r="A4117" t="s">
        <v>1313</v>
      </c>
      <c r="B4117" t="s">
        <v>1314</v>
      </c>
      <c r="C4117" t="s">
        <v>13</v>
      </c>
      <c r="E4117" t="s">
        <v>1315</v>
      </c>
      <c r="F4117">
        <v>4912</v>
      </c>
      <c r="G4117" t="s">
        <v>64</v>
      </c>
      <c r="H4117" t="s">
        <v>16</v>
      </c>
      <c r="I4117" t="s">
        <v>1267</v>
      </c>
      <c r="J4117" t="s">
        <v>1268</v>
      </c>
      <c r="K4117" t="s">
        <v>1809</v>
      </c>
      <c r="L4117" t="str">
        <f>HYPERLINK("https://business-monitor.ch/de/companies/91249-woelfel-ag?utm_source=oberaargau","PROFIL ANSEHEN")</f>
        <v>PROFIL ANSEHEN</v>
      </c>
    </row>
    <row r="4118" spans="1:12" x14ac:dyDescent="0.2">
      <c r="A4118" t="s">
        <v>13899</v>
      </c>
      <c r="B4118" t="s">
        <v>13900</v>
      </c>
      <c r="C4118" t="s">
        <v>1812</v>
      </c>
      <c r="E4118" t="s">
        <v>13901</v>
      </c>
      <c r="F4118">
        <v>4704</v>
      </c>
      <c r="G4118" t="s">
        <v>221</v>
      </c>
      <c r="H4118" t="s">
        <v>16</v>
      </c>
      <c r="I4118" t="s">
        <v>733</v>
      </c>
      <c r="J4118" t="s">
        <v>734</v>
      </c>
      <c r="K4118" t="s">
        <v>1809</v>
      </c>
      <c r="L4118" t="str">
        <f>HYPERLINK("https://business-monitor.ch/de/companies/669904-mt-autohandel-mirsad-tahiraj?utm_source=oberaargau","PROFIL ANSEHEN")</f>
        <v>PROFIL ANSEHEN</v>
      </c>
    </row>
    <row r="4119" spans="1:12" x14ac:dyDescent="0.2">
      <c r="A4119" t="s">
        <v>9995</v>
      </c>
      <c r="B4119" t="s">
        <v>9996</v>
      </c>
      <c r="C4119" t="s">
        <v>202</v>
      </c>
      <c r="E4119" t="s">
        <v>756</v>
      </c>
      <c r="F4119">
        <v>3360</v>
      </c>
      <c r="G4119" t="s">
        <v>35</v>
      </c>
      <c r="H4119" t="s">
        <v>16</v>
      </c>
      <c r="I4119" t="s">
        <v>1062</v>
      </c>
      <c r="J4119" t="s">
        <v>1063</v>
      </c>
      <c r="K4119" t="s">
        <v>1809</v>
      </c>
      <c r="L4119" t="str">
        <f>HYPERLINK("https://business-monitor.ch/de/companies/726641-robin-schenk-gmbh?utm_source=oberaargau","PROFIL ANSEHEN")</f>
        <v>PROFIL ANSEHEN</v>
      </c>
    </row>
    <row r="4120" spans="1:12" x14ac:dyDescent="0.2">
      <c r="A4120" t="s">
        <v>783</v>
      </c>
      <c r="B4120" t="s">
        <v>784</v>
      </c>
      <c r="C4120" t="s">
        <v>13</v>
      </c>
      <c r="E4120" t="s">
        <v>14639</v>
      </c>
      <c r="F4120">
        <v>4934</v>
      </c>
      <c r="G4120" t="s">
        <v>670</v>
      </c>
      <c r="H4120" t="s">
        <v>16</v>
      </c>
      <c r="I4120" t="s">
        <v>624</v>
      </c>
      <c r="J4120" t="s">
        <v>625</v>
      </c>
      <c r="K4120" t="s">
        <v>1809</v>
      </c>
      <c r="L4120" t="str">
        <f>HYPERLINK("https://business-monitor.ch/de/companies/171586-seiler-co-ag-madiswil?utm_source=oberaargau","PROFIL ANSEHEN")</f>
        <v>PROFIL ANSEHEN</v>
      </c>
    </row>
    <row r="4121" spans="1:12" x14ac:dyDescent="0.2">
      <c r="A4121" t="s">
        <v>12405</v>
      </c>
      <c r="B4121" t="s">
        <v>12406</v>
      </c>
      <c r="C4121" t="s">
        <v>202</v>
      </c>
      <c r="E4121" t="s">
        <v>12407</v>
      </c>
      <c r="F4121">
        <v>4538</v>
      </c>
      <c r="G4121" t="s">
        <v>71</v>
      </c>
      <c r="H4121" t="s">
        <v>16</v>
      </c>
      <c r="I4121" t="s">
        <v>824</v>
      </c>
      <c r="J4121" t="s">
        <v>825</v>
      </c>
      <c r="K4121" t="s">
        <v>1809</v>
      </c>
      <c r="L4121" t="str">
        <f>HYPERLINK("https://business-monitor.ch/de/companies/1195045-da-noi-gmbh?utm_source=oberaargau","PROFIL ANSEHEN")</f>
        <v>PROFIL ANSEHEN</v>
      </c>
    </row>
    <row r="4122" spans="1:12" x14ac:dyDescent="0.2">
      <c r="A4122" t="s">
        <v>10560</v>
      </c>
      <c r="B4122" t="s">
        <v>10561</v>
      </c>
      <c r="C4122" t="s">
        <v>1812</v>
      </c>
      <c r="E4122" t="s">
        <v>8563</v>
      </c>
      <c r="F4122">
        <v>4900</v>
      </c>
      <c r="G4122" t="s">
        <v>41</v>
      </c>
      <c r="H4122" t="s">
        <v>16</v>
      </c>
      <c r="I4122" t="s">
        <v>2569</v>
      </c>
      <c r="J4122" t="s">
        <v>2570</v>
      </c>
      <c r="K4122" t="s">
        <v>1809</v>
      </c>
      <c r="L4122" t="str">
        <f>HYPERLINK("https://business-monitor.ch/de/companies/383594-vivino-inhaberin-victoria-bringolf?utm_source=oberaargau","PROFIL ANSEHEN")</f>
        <v>PROFIL ANSEHEN</v>
      </c>
    </row>
    <row r="4123" spans="1:12" x14ac:dyDescent="0.2">
      <c r="A4123" t="s">
        <v>11987</v>
      </c>
      <c r="B4123" t="s">
        <v>11988</v>
      </c>
      <c r="C4123" t="s">
        <v>13</v>
      </c>
      <c r="D4123" t="s">
        <v>11989</v>
      </c>
      <c r="E4123" t="s">
        <v>11990</v>
      </c>
      <c r="F4123">
        <v>4537</v>
      </c>
      <c r="G4123" t="s">
        <v>113</v>
      </c>
      <c r="H4123" t="s">
        <v>16</v>
      </c>
      <c r="I4123" t="s">
        <v>565</v>
      </c>
      <c r="J4123" t="s">
        <v>566</v>
      </c>
      <c r="K4123" t="s">
        <v>1809</v>
      </c>
      <c r="L4123" t="str">
        <f>HYPERLINK("https://business-monitor.ch/de/companies/1167529-kitchtastic-ag?utm_source=oberaargau","PROFIL ANSEHEN")</f>
        <v>PROFIL ANSEHEN</v>
      </c>
    </row>
    <row r="4124" spans="1:12" x14ac:dyDescent="0.2">
      <c r="A4124" t="s">
        <v>9903</v>
      </c>
      <c r="B4124" t="s">
        <v>9904</v>
      </c>
      <c r="C4124" t="s">
        <v>13</v>
      </c>
      <c r="E4124" t="s">
        <v>9905</v>
      </c>
      <c r="F4124">
        <v>4950</v>
      </c>
      <c r="G4124" t="s">
        <v>15</v>
      </c>
      <c r="H4124" t="s">
        <v>16</v>
      </c>
      <c r="I4124" t="s">
        <v>2954</v>
      </c>
      <c r="J4124" t="s">
        <v>2955</v>
      </c>
      <c r="K4124" t="s">
        <v>1809</v>
      </c>
      <c r="L4124" t="str">
        <f>HYPERLINK("https://business-monitor.ch/de/companies/966345-flueckiger-hecht-ag?utm_source=oberaargau","PROFIL ANSEHEN")</f>
        <v>PROFIL ANSEHEN</v>
      </c>
    </row>
    <row r="4125" spans="1:12" x14ac:dyDescent="0.2">
      <c r="A4125" t="s">
        <v>5734</v>
      </c>
      <c r="B4125" t="s">
        <v>5735</v>
      </c>
      <c r="C4125" t="s">
        <v>13</v>
      </c>
      <c r="D4125" t="s">
        <v>5736</v>
      </c>
      <c r="E4125" t="s">
        <v>5737</v>
      </c>
      <c r="F4125">
        <v>4900</v>
      </c>
      <c r="G4125" t="s">
        <v>41</v>
      </c>
      <c r="H4125" t="s">
        <v>16</v>
      </c>
      <c r="I4125" t="s">
        <v>854</v>
      </c>
      <c r="J4125" t="s">
        <v>855</v>
      </c>
      <c r="K4125" t="s">
        <v>1809</v>
      </c>
      <c r="L4125" t="str">
        <f>HYPERLINK("https://business-monitor.ch/de/companies/952888-mindcraft-ag?utm_source=oberaargau","PROFIL ANSEHEN")</f>
        <v>PROFIL ANSEHEN</v>
      </c>
    </row>
    <row r="4126" spans="1:12" x14ac:dyDescent="0.2">
      <c r="A4126" t="s">
        <v>9922</v>
      </c>
      <c r="B4126" t="s">
        <v>9923</v>
      </c>
      <c r="C4126" t="s">
        <v>202</v>
      </c>
      <c r="E4126" t="s">
        <v>9924</v>
      </c>
      <c r="F4126">
        <v>4917</v>
      </c>
      <c r="G4126" t="s">
        <v>376</v>
      </c>
      <c r="H4126" t="s">
        <v>16</v>
      </c>
      <c r="I4126" t="s">
        <v>1535</v>
      </c>
      <c r="J4126" t="s">
        <v>1536</v>
      </c>
      <c r="K4126" t="s">
        <v>1809</v>
      </c>
      <c r="L4126" t="str">
        <f>HYPERLINK("https://business-monitor.ch/de/companies/958356-duppenthaler-gartengestaltung-gmbh?utm_source=oberaargau","PROFIL ANSEHEN")</f>
        <v>PROFIL ANSEHEN</v>
      </c>
    </row>
    <row r="4127" spans="1:12" x14ac:dyDescent="0.2">
      <c r="A4127" t="s">
        <v>14640</v>
      </c>
      <c r="B4127" t="s">
        <v>14641</v>
      </c>
      <c r="C4127" t="s">
        <v>202</v>
      </c>
      <c r="E4127" t="s">
        <v>14642</v>
      </c>
      <c r="F4127">
        <v>4900</v>
      </c>
      <c r="G4127" t="s">
        <v>41</v>
      </c>
      <c r="H4127" t="s">
        <v>16</v>
      </c>
      <c r="I4127" t="s">
        <v>260</v>
      </c>
      <c r="J4127" t="s">
        <v>261</v>
      </c>
      <c r="K4127" t="s">
        <v>1809</v>
      </c>
      <c r="L4127" t="str">
        <f>HYPERLINK("https://business-monitor.ch/de/companies/1302251-studer-bauprojektleitung-gmbh?utm_source=oberaargau","PROFIL ANSEHEN")</f>
        <v>PROFIL ANSEHEN</v>
      </c>
    </row>
    <row r="4128" spans="1:12" x14ac:dyDescent="0.2">
      <c r="A4128" t="s">
        <v>11234</v>
      </c>
      <c r="B4128" t="s">
        <v>11235</v>
      </c>
      <c r="C4128" t="s">
        <v>202</v>
      </c>
      <c r="E4128" t="s">
        <v>11236</v>
      </c>
      <c r="F4128">
        <v>4536</v>
      </c>
      <c r="G4128" t="s">
        <v>1395</v>
      </c>
      <c r="H4128" t="s">
        <v>16</v>
      </c>
      <c r="I4128" t="s">
        <v>1936</v>
      </c>
      <c r="J4128" t="s">
        <v>1937</v>
      </c>
      <c r="K4128" t="s">
        <v>1809</v>
      </c>
      <c r="L4128" t="str">
        <f>HYPERLINK("https://business-monitor.ch/de/companies/471007-x-tec-eventtechnik-gmbh?utm_source=oberaargau","PROFIL ANSEHEN")</f>
        <v>PROFIL ANSEHEN</v>
      </c>
    </row>
    <row r="4129" spans="1:12" x14ac:dyDescent="0.2">
      <c r="A4129" t="s">
        <v>13619</v>
      </c>
      <c r="B4129" t="s">
        <v>13620</v>
      </c>
      <c r="C4129" t="s">
        <v>13</v>
      </c>
      <c r="E4129" t="s">
        <v>8566</v>
      </c>
      <c r="F4129">
        <v>4538</v>
      </c>
      <c r="G4129" t="s">
        <v>71</v>
      </c>
      <c r="H4129" t="s">
        <v>16</v>
      </c>
      <c r="I4129" t="s">
        <v>77</v>
      </c>
      <c r="J4129" t="s">
        <v>78</v>
      </c>
      <c r="K4129" t="s">
        <v>1809</v>
      </c>
      <c r="L4129" t="str">
        <f>HYPERLINK("https://business-monitor.ch/de/companies/1266518-rff-group-ag?utm_source=oberaargau","PROFIL ANSEHEN")</f>
        <v>PROFIL ANSEHEN</v>
      </c>
    </row>
    <row r="4130" spans="1:12" x14ac:dyDescent="0.2">
      <c r="A4130" t="s">
        <v>11668</v>
      </c>
      <c r="B4130" t="s">
        <v>11669</v>
      </c>
      <c r="C4130" t="s">
        <v>2258</v>
      </c>
      <c r="E4130" t="s">
        <v>11670</v>
      </c>
      <c r="F4130">
        <v>4704</v>
      </c>
      <c r="G4130" t="s">
        <v>221</v>
      </c>
      <c r="H4130" t="s">
        <v>16</v>
      </c>
      <c r="I4130" t="s">
        <v>6656</v>
      </c>
      <c r="J4130" t="s">
        <v>6657</v>
      </c>
      <c r="K4130" t="s">
        <v>1809</v>
      </c>
      <c r="L4130" t="str">
        <f>HYPERLINK("https://business-monitor.ch/de/companies/1151327-lernoase?utm_source=oberaargau","PROFIL ANSEHEN")</f>
        <v>PROFIL ANSEHEN</v>
      </c>
    </row>
    <row r="4131" spans="1:12" x14ac:dyDescent="0.2">
      <c r="A4131" t="s">
        <v>5772</v>
      </c>
      <c r="B4131" t="s">
        <v>5773</v>
      </c>
      <c r="C4131" t="s">
        <v>13</v>
      </c>
      <c r="E4131" t="s">
        <v>5774</v>
      </c>
      <c r="F4131">
        <v>4955</v>
      </c>
      <c r="G4131" t="s">
        <v>684</v>
      </c>
      <c r="H4131" t="s">
        <v>16</v>
      </c>
      <c r="I4131" t="s">
        <v>781</v>
      </c>
      <c r="J4131" t="s">
        <v>782</v>
      </c>
      <c r="K4131" t="s">
        <v>1809</v>
      </c>
      <c r="L4131" t="str">
        <f>HYPERLINK("https://business-monitor.ch/de/companies/101380-fankhauser-ag-landmaschinen-service?utm_source=oberaargau","PROFIL ANSEHEN")</f>
        <v>PROFIL ANSEHEN</v>
      </c>
    </row>
    <row r="4132" spans="1:12" x14ac:dyDescent="0.2">
      <c r="A4132" t="s">
        <v>14005</v>
      </c>
      <c r="B4132" t="s">
        <v>14006</v>
      </c>
      <c r="C4132" t="s">
        <v>13</v>
      </c>
      <c r="E4132" t="s">
        <v>14007</v>
      </c>
      <c r="F4132">
        <v>4900</v>
      </c>
      <c r="G4132" t="s">
        <v>41</v>
      </c>
      <c r="H4132" t="s">
        <v>16</v>
      </c>
      <c r="I4132" t="s">
        <v>935</v>
      </c>
      <c r="J4132" t="s">
        <v>936</v>
      </c>
      <c r="K4132" t="s">
        <v>1809</v>
      </c>
      <c r="L4132" t="str">
        <f>HYPERLINK("https://business-monitor.ch/de/companies/1269381-schneeberger-realestate-ag?utm_source=oberaargau","PROFIL ANSEHEN")</f>
        <v>PROFIL ANSEHEN</v>
      </c>
    </row>
    <row r="4133" spans="1:12" x14ac:dyDescent="0.2">
      <c r="A4133" t="s">
        <v>8406</v>
      </c>
      <c r="B4133" t="s">
        <v>8407</v>
      </c>
      <c r="C4133" t="s">
        <v>1812</v>
      </c>
      <c r="E4133" t="s">
        <v>4711</v>
      </c>
      <c r="F4133">
        <v>4950</v>
      </c>
      <c r="G4133" t="s">
        <v>15</v>
      </c>
      <c r="H4133" t="s">
        <v>16</v>
      </c>
      <c r="I4133" t="s">
        <v>2825</v>
      </c>
      <c r="J4133" t="s">
        <v>2826</v>
      </c>
      <c r="K4133" t="s">
        <v>1809</v>
      </c>
      <c r="L4133" t="str">
        <f>HYPERLINK("https://business-monitor.ch/de/companies/526693-unkonventionell-sabine-pfister?utm_source=oberaargau","PROFIL ANSEHEN")</f>
        <v>PROFIL ANSEHEN</v>
      </c>
    </row>
    <row r="4134" spans="1:12" x14ac:dyDescent="0.2">
      <c r="A4134" t="s">
        <v>2167</v>
      </c>
      <c r="B4134" t="s">
        <v>2168</v>
      </c>
      <c r="C4134" t="s">
        <v>1812</v>
      </c>
      <c r="E4134" t="s">
        <v>2169</v>
      </c>
      <c r="F4134">
        <v>4938</v>
      </c>
      <c r="G4134" t="s">
        <v>618</v>
      </c>
      <c r="H4134" t="s">
        <v>16</v>
      </c>
      <c r="I4134" t="s">
        <v>624</v>
      </c>
      <c r="J4134" t="s">
        <v>625</v>
      </c>
      <c r="K4134" t="s">
        <v>1809</v>
      </c>
      <c r="L4134" t="str">
        <f>HYPERLINK("https://business-monitor.ch/de/companies/145552-fritz-nyffeler?utm_source=oberaargau","PROFIL ANSEHEN")</f>
        <v>PROFIL ANSEHEN</v>
      </c>
    </row>
    <row r="4135" spans="1:12" x14ac:dyDescent="0.2">
      <c r="A4135" t="s">
        <v>7420</v>
      </c>
      <c r="B4135" t="s">
        <v>7421</v>
      </c>
      <c r="C4135" t="s">
        <v>202</v>
      </c>
      <c r="E4135" t="s">
        <v>7422</v>
      </c>
      <c r="F4135">
        <v>4900</v>
      </c>
      <c r="G4135" t="s">
        <v>41</v>
      </c>
      <c r="H4135" t="s">
        <v>16</v>
      </c>
      <c r="I4135" t="s">
        <v>2569</v>
      </c>
      <c r="J4135" t="s">
        <v>2570</v>
      </c>
      <c r="K4135" t="s">
        <v>1809</v>
      </c>
      <c r="L4135" t="str">
        <f>HYPERLINK("https://business-monitor.ch/de/companies/956015-gaston-suzette-gmbh?utm_source=oberaargau","PROFIL ANSEHEN")</f>
        <v>PROFIL ANSEHEN</v>
      </c>
    </row>
    <row r="4136" spans="1:12" x14ac:dyDescent="0.2">
      <c r="A4136" t="s">
        <v>3635</v>
      </c>
      <c r="B4136" t="s">
        <v>3636</v>
      </c>
      <c r="C4136" t="s">
        <v>84</v>
      </c>
      <c r="D4136" t="s">
        <v>3637</v>
      </c>
      <c r="E4136" t="s">
        <v>3638</v>
      </c>
      <c r="F4136">
        <v>4950</v>
      </c>
      <c r="G4136" t="s">
        <v>15</v>
      </c>
      <c r="H4136" t="s">
        <v>16</v>
      </c>
      <c r="I4136" t="s">
        <v>906</v>
      </c>
      <c r="J4136" t="s">
        <v>907</v>
      </c>
      <c r="K4136" t="s">
        <v>1809</v>
      </c>
      <c r="L4136" t="str">
        <f>HYPERLINK("https://business-monitor.ch/de/companies/61929-wohnbaugenossenschaft-huttwil?utm_source=oberaargau","PROFIL ANSEHEN")</f>
        <v>PROFIL ANSEHEN</v>
      </c>
    </row>
    <row r="4137" spans="1:12" x14ac:dyDescent="0.2">
      <c r="A4137" t="s">
        <v>12038</v>
      </c>
      <c r="B4137" t="s">
        <v>12039</v>
      </c>
      <c r="C4137" t="s">
        <v>1812</v>
      </c>
      <c r="E4137" t="s">
        <v>12040</v>
      </c>
      <c r="F4137">
        <v>4914</v>
      </c>
      <c r="G4137" t="s">
        <v>105</v>
      </c>
      <c r="H4137" t="s">
        <v>16</v>
      </c>
      <c r="I4137" t="s">
        <v>1835</v>
      </c>
      <c r="J4137" t="s">
        <v>1836</v>
      </c>
      <c r="K4137" t="s">
        <v>1809</v>
      </c>
      <c r="L4137" t="str">
        <f>HYPERLINK("https://business-monitor.ch/de/companies/1125140-maria-jesus-pilattus-inhaberin-borges-de-jesus?utm_source=oberaargau","PROFIL ANSEHEN")</f>
        <v>PROFIL ANSEHEN</v>
      </c>
    </row>
    <row r="4138" spans="1:12" x14ac:dyDescent="0.2">
      <c r="A4138" t="s">
        <v>2102</v>
      </c>
      <c r="B4138" t="s">
        <v>2103</v>
      </c>
      <c r="C4138" t="s">
        <v>1812</v>
      </c>
      <c r="E4138" t="s">
        <v>2104</v>
      </c>
      <c r="F4138">
        <v>4914</v>
      </c>
      <c r="G4138" t="s">
        <v>717</v>
      </c>
      <c r="H4138" t="s">
        <v>16</v>
      </c>
      <c r="I4138" t="s">
        <v>781</v>
      </c>
      <c r="J4138" t="s">
        <v>782</v>
      </c>
      <c r="K4138" t="s">
        <v>1809</v>
      </c>
      <c r="L4138" t="str">
        <f>HYPERLINK("https://business-monitor.ch/de/companies/63922-interrep-services-e-stampfli?utm_source=oberaargau","PROFIL ANSEHEN")</f>
        <v>PROFIL ANSEHEN</v>
      </c>
    </row>
    <row r="4139" spans="1:12" x14ac:dyDescent="0.2">
      <c r="A4139" t="s">
        <v>7417</v>
      </c>
      <c r="B4139" t="s">
        <v>7418</v>
      </c>
      <c r="C4139" t="s">
        <v>1812</v>
      </c>
      <c r="E4139" t="s">
        <v>7419</v>
      </c>
      <c r="F4139">
        <v>3373</v>
      </c>
      <c r="G4139" t="s">
        <v>2429</v>
      </c>
      <c r="H4139" t="s">
        <v>16</v>
      </c>
      <c r="I4139" t="s">
        <v>1936</v>
      </c>
      <c r="J4139" t="s">
        <v>1937</v>
      </c>
      <c r="K4139" t="s">
        <v>1809</v>
      </c>
      <c r="L4139" t="str">
        <f>HYPERLINK("https://business-monitor.ch/de/companies/956309-vogt-tools?utm_source=oberaargau","PROFIL ANSEHEN")</f>
        <v>PROFIL ANSEHEN</v>
      </c>
    </row>
    <row r="4140" spans="1:12" x14ac:dyDescent="0.2">
      <c r="A4140" t="s">
        <v>9556</v>
      </c>
      <c r="B4140" t="s">
        <v>11058</v>
      </c>
      <c r="C4140" t="s">
        <v>1812</v>
      </c>
      <c r="E4140" t="s">
        <v>9557</v>
      </c>
      <c r="F4140">
        <v>4900</v>
      </c>
      <c r="G4140" t="s">
        <v>41</v>
      </c>
      <c r="H4140" t="s">
        <v>16</v>
      </c>
      <c r="I4140" t="s">
        <v>854</v>
      </c>
      <c r="J4140" t="s">
        <v>855</v>
      </c>
      <c r="K4140" t="s">
        <v>1809</v>
      </c>
      <c r="L4140" t="str">
        <f>HYPERLINK("https://business-monitor.ch/de/companies/612531-a4web-langenthaler-ch-schweizerinnen-ch-preprocessor-ch-agenda-manager-luetzenberger?utm_source=oberaargau","PROFIL ANSEHEN")</f>
        <v>PROFIL ANSEHEN</v>
      </c>
    </row>
    <row r="4141" spans="1:12" x14ac:dyDescent="0.2">
      <c r="A4141" t="s">
        <v>7885</v>
      </c>
      <c r="B4141" t="s">
        <v>7886</v>
      </c>
      <c r="C4141" t="s">
        <v>1812</v>
      </c>
      <c r="E4141" t="s">
        <v>7887</v>
      </c>
      <c r="F4141">
        <v>3362</v>
      </c>
      <c r="G4141" t="s">
        <v>47</v>
      </c>
      <c r="H4141" t="s">
        <v>16</v>
      </c>
      <c r="I4141" t="s">
        <v>824</v>
      </c>
      <c r="J4141" t="s">
        <v>825</v>
      </c>
      <c r="K4141" t="s">
        <v>1809</v>
      </c>
      <c r="L4141" t="str">
        <f>HYPERLINK("https://business-monitor.ch/de/companies/334140-restaurant-zur-linde-de-jesus-da-silva?utm_source=oberaargau","PROFIL ANSEHEN")</f>
        <v>PROFIL ANSEHEN</v>
      </c>
    </row>
    <row r="4142" spans="1:12" x14ac:dyDescent="0.2">
      <c r="A4142" t="s">
        <v>4311</v>
      </c>
      <c r="B4142" t="s">
        <v>4312</v>
      </c>
      <c r="C4142" t="s">
        <v>1812</v>
      </c>
      <c r="E4142" t="s">
        <v>4313</v>
      </c>
      <c r="F4142">
        <v>4900</v>
      </c>
      <c r="G4142" t="s">
        <v>41</v>
      </c>
      <c r="H4142" t="s">
        <v>16</v>
      </c>
      <c r="I4142" t="s">
        <v>772</v>
      </c>
      <c r="J4142" t="s">
        <v>773</v>
      </c>
      <c r="K4142" t="s">
        <v>1809</v>
      </c>
      <c r="L4142" t="str">
        <f>HYPERLINK("https://business-monitor.ch/de/companies/972156-helsinkiboutique-by-pihla-maria-paavilainen?utm_source=oberaargau","PROFIL ANSEHEN")</f>
        <v>PROFIL ANSEHEN</v>
      </c>
    </row>
    <row r="4143" spans="1:12" x14ac:dyDescent="0.2">
      <c r="A4143" t="s">
        <v>9925</v>
      </c>
      <c r="B4143" t="s">
        <v>14049</v>
      </c>
      <c r="C4143" t="s">
        <v>1812</v>
      </c>
      <c r="E4143" t="s">
        <v>11843</v>
      </c>
      <c r="F4143">
        <v>4937</v>
      </c>
      <c r="G4143" t="s">
        <v>951</v>
      </c>
      <c r="H4143" t="s">
        <v>16</v>
      </c>
      <c r="I4143" t="s">
        <v>2748</v>
      </c>
      <c r="J4143" t="s">
        <v>2749</v>
      </c>
      <c r="K4143" t="s">
        <v>1809</v>
      </c>
      <c r="L4143" t="str">
        <f>HYPERLINK("https://business-monitor.ch/de/companies/958334-smoky-tierbetreuung-inh-reto-pfister?utm_source=oberaargau","PROFIL ANSEHEN")</f>
        <v>PROFIL ANSEHEN</v>
      </c>
    </row>
    <row r="4144" spans="1:12" x14ac:dyDescent="0.2">
      <c r="A4144" t="s">
        <v>4347</v>
      </c>
      <c r="B4144" t="s">
        <v>4348</v>
      </c>
      <c r="C4144" t="s">
        <v>13</v>
      </c>
      <c r="E4144" t="s">
        <v>4349</v>
      </c>
      <c r="F4144">
        <v>3380</v>
      </c>
      <c r="G4144" t="s">
        <v>29</v>
      </c>
      <c r="H4144" t="s">
        <v>16</v>
      </c>
      <c r="I4144" t="s">
        <v>551</v>
      </c>
      <c r="J4144" t="s">
        <v>552</v>
      </c>
      <c r="K4144" t="s">
        <v>1809</v>
      </c>
      <c r="L4144" t="str">
        <f>HYPERLINK("https://business-monitor.ch/de/companies/958674-seidl-economics-ag?utm_source=oberaargau","PROFIL ANSEHEN")</f>
        <v>PROFIL ANSEHEN</v>
      </c>
    </row>
    <row r="4145" spans="1:12" x14ac:dyDescent="0.2">
      <c r="A4145" t="s">
        <v>5073</v>
      </c>
      <c r="B4145" t="s">
        <v>5074</v>
      </c>
      <c r="C4145" t="s">
        <v>13</v>
      </c>
      <c r="E4145" t="s">
        <v>446</v>
      </c>
      <c r="F4145">
        <v>4950</v>
      </c>
      <c r="G4145" t="s">
        <v>15</v>
      </c>
      <c r="H4145" t="s">
        <v>16</v>
      </c>
      <c r="I4145" t="s">
        <v>1576</v>
      </c>
      <c r="J4145" t="s">
        <v>1577</v>
      </c>
      <c r="K4145" t="s">
        <v>1809</v>
      </c>
      <c r="L4145" t="str">
        <f>HYPERLINK("https://business-monitor.ch/de/companies/75668-dropa-fries-ag?utm_source=oberaargau","PROFIL ANSEHEN")</f>
        <v>PROFIL ANSEHEN</v>
      </c>
    </row>
    <row r="4146" spans="1:12" x14ac:dyDescent="0.2">
      <c r="A4146" t="s">
        <v>5813</v>
      </c>
      <c r="B4146" t="s">
        <v>5814</v>
      </c>
      <c r="C4146" t="s">
        <v>202</v>
      </c>
      <c r="E4146" t="s">
        <v>5815</v>
      </c>
      <c r="F4146">
        <v>4917</v>
      </c>
      <c r="G4146" t="s">
        <v>376</v>
      </c>
      <c r="H4146" t="s">
        <v>16</v>
      </c>
      <c r="I4146" t="s">
        <v>260</v>
      </c>
      <c r="J4146" t="s">
        <v>261</v>
      </c>
      <c r="K4146" t="s">
        <v>1809</v>
      </c>
      <c r="L4146" t="str">
        <f>HYPERLINK("https://business-monitor.ch/de/companies/958867-rolf-jaeggi-architektur-gmbh?utm_source=oberaargau","PROFIL ANSEHEN")</f>
        <v>PROFIL ANSEHEN</v>
      </c>
    </row>
    <row r="4147" spans="1:12" x14ac:dyDescent="0.2">
      <c r="A4147" t="s">
        <v>8257</v>
      </c>
      <c r="B4147" t="s">
        <v>8258</v>
      </c>
      <c r="C4147" t="s">
        <v>1812</v>
      </c>
      <c r="E4147" t="s">
        <v>8259</v>
      </c>
      <c r="F4147">
        <v>4922</v>
      </c>
      <c r="G4147" t="s">
        <v>1318</v>
      </c>
      <c r="H4147" t="s">
        <v>16</v>
      </c>
      <c r="I4147" t="s">
        <v>824</v>
      </c>
      <c r="J4147" t="s">
        <v>825</v>
      </c>
      <c r="K4147" t="s">
        <v>1809</v>
      </c>
      <c r="L4147" t="str">
        <f>HYPERLINK("https://business-monitor.ch/de/companies/360740-speiserestaurant-forst-inhaberin-s-koch?utm_source=oberaargau","PROFIL ANSEHEN")</f>
        <v>PROFIL ANSEHEN</v>
      </c>
    </row>
    <row r="4148" spans="1:12" x14ac:dyDescent="0.2">
      <c r="A4148" t="s">
        <v>11001</v>
      </c>
      <c r="B4148" t="s">
        <v>11002</v>
      </c>
      <c r="C4148" t="s">
        <v>202</v>
      </c>
      <c r="E4148" t="s">
        <v>7826</v>
      </c>
      <c r="F4148">
        <v>4900</v>
      </c>
      <c r="G4148" t="s">
        <v>41</v>
      </c>
      <c r="H4148" t="s">
        <v>16</v>
      </c>
      <c r="I4148" t="s">
        <v>824</v>
      </c>
      <c r="J4148" t="s">
        <v>825</v>
      </c>
      <c r="K4148" t="s">
        <v>1809</v>
      </c>
      <c r="L4148" t="str">
        <f>HYPERLINK("https://business-monitor.ch/de/companies/547826-stella-langenthal-gmbh?utm_source=oberaargau","PROFIL ANSEHEN")</f>
        <v>PROFIL ANSEHEN</v>
      </c>
    </row>
    <row r="4149" spans="1:12" x14ac:dyDescent="0.2">
      <c r="A4149" t="s">
        <v>14323</v>
      </c>
      <c r="B4149" t="s">
        <v>14324</v>
      </c>
      <c r="C4149" t="s">
        <v>13</v>
      </c>
      <c r="E4149" t="s">
        <v>14325</v>
      </c>
      <c r="F4149">
        <v>4950</v>
      </c>
      <c r="G4149" t="s">
        <v>15</v>
      </c>
      <c r="H4149" t="s">
        <v>16</v>
      </c>
      <c r="I4149" t="s">
        <v>587</v>
      </c>
      <c r="J4149" t="s">
        <v>588</v>
      </c>
      <c r="K4149" t="s">
        <v>1809</v>
      </c>
      <c r="L4149" t="str">
        <f>HYPERLINK("https://business-monitor.ch/de/companies/1287747-180-grad-ag?utm_source=oberaargau","PROFIL ANSEHEN")</f>
        <v>PROFIL ANSEHEN</v>
      </c>
    </row>
    <row r="4150" spans="1:12" x14ac:dyDescent="0.2">
      <c r="A4150" t="s">
        <v>14087</v>
      </c>
      <c r="B4150" t="s">
        <v>14088</v>
      </c>
      <c r="C4150" t="s">
        <v>2178</v>
      </c>
      <c r="E4150" t="s">
        <v>14089</v>
      </c>
      <c r="F4150">
        <v>4922</v>
      </c>
      <c r="G4150" t="s">
        <v>99</v>
      </c>
      <c r="H4150" t="s">
        <v>16</v>
      </c>
      <c r="I4150" t="s">
        <v>162</v>
      </c>
      <c r="J4150" t="s">
        <v>163</v>
      </c>
      <c r="K4150" t="s">
        <v>1809</v>
      </c>
      <c r="L4150" t="str">
        <f>HYPERLINK("https://business-monitor.ch/de/companies/1275839-glas-troesch-ag-zweigniederlassung-hy-tech-glass?utm_source=oberaargau","PROFIL ANSEHEN")</f>
        <v>PROFIL ANSEHEN</v>
      </c>
    </row>
    <row r="4151" spans="1:12" x14ac:dyDescent="0.2">
      <c r="A4151" t="s">
        <v>12556</v>
      </c>
      <c r="B4151" t="s">
        <v>12557</v>
      </c>
      <c r="C4151" t="s">
        <v>202</v>
      </c>
      <c r="E4151" t="s">
        <v>12558</v>
      </c>
      <c r="F4151">
        <v>4934</v>
      </c>
      <c r="G4151" t="s">
        <v>670</v>
      </c>
      <c r="H4151" t="s">
        <v>16</v>
      </c>
      <c r="I4151" t="s">
        <v>9750</v>
      </c>
      <c r="J4151" t="s">
        <v>9751</v>
      </c>
      <c r="K4151" t="s">
        <v>1809</v>
      </c>
      <c r="L4151" t="str">
        <f>HYPERLINK("https://business-monitor.ch/de/companies/1214302-stressfrei-vom-hof-gmbh?utm_source=oberaargau","PROFIL ANSEHEN")</f>
        <v>PROFIL ANSEHEN</v>
      </c>
    </row>
    <row r="4152" spans="1:12" x14ac:dyDescent="0.2">
      <c r="A4152" t="s">
        <v>7397</v>
      </c>
      <c r="B4152" t="s">
        <v>7398</v>
      </c>
      <c r="C4152" t="s">
        <v>2178</v>
      </c>
      <c r="E4152" t="s">
        <v>7399</v>
      </c>
      <c r="F4152">
        <v>4922</v>
      </c>
      <c r="G4152" t="s">
        <v>99</v>
      </c>
      <c r="H4152" t="s">
        <v>16</v>
      </c>
      <c r="I4152" t="s">
        <v>2962</v>
      </c>
      <c r="J4152" t="s">
        <v>2963</v>
      </c>
      <c r="K4152" t="s">
        <v>1809</v>
      </c>
      <c r="L4152" t="str">
        <f>HYPERLINK("https://business-monitor.ch/de/companies/962162-megaohm-control-ag-zweigniederlassung-buetzberg-thunstetten?utm_source=oberaargau","PROFIL ANSEHEN")</f>
        <v>PROFIL ANSEHEN</v>
      </c>
    </row>
    <row r="4153" spans="1:12" x14ac:dyDescent="0.2">
      <c r="A4153" t="s">
        <v>11046</v>
      </c>
      <c r="B4153" t="s">
        <v>11047</v>
      </c>
      <c r="C4153" t="s">
        <v>1812</v>
      </c>
      <c r="E4153" t="s">
        <v>11048</v>
      </c>
      <c r="F4153">
        <v>4954</v>
      </c>
      <c r="G4153" t="s">
        <v>359</v>
      </c>
      <c r="H4153" t="s">
        <v>16</v>
      </c>
      <c r="I4153" t="s">
        <v>2438</v>
      </c>
      <c r="J4153" t="s">
        <v>2439</v>
      </c>
      <c r="K4153" t="s">
        <v>1809</v>
      </c>
      <c r="L4153" t="str">
        <f>HYPERLINK("https://business-monitor.ch/de/companies/1112747-kundenmetzgerei-und-landwirtschaft-roth-inhaber-roland-roth?utm_source=oberaargau","PROFIL ANSEHEN")</f>
        <v>PROFIL ANSEHEN</v>
      </c>
    </row>
    <row r="4154" spans="1:12" x14ac:dyDescent="0.2">
      <c r="A4154" t="s">
        <v>13698</v>
      </c>
      <c r="B4154" t="s">
        <v>13699</v>
      </c>
      <c r="C4154" t="s">
        <v>202</v>
      </c>
      <c r="E4154" t="s">
        <v>9186</v>
      </c>
      <c r="F4154">
        <v>4950</v>
      </c>
      <c r="G4154" t="s">
        <v>15</v>
      </c>
      <c r="H4154" t="s">
        <v>16</v>
      </c>
      <c r="I4154" t="s">
        <v>186</v>
      </c>
      <c r="J4154" t="s">
        <v>187</v>
      </c>
      <c r="K4154" t="s">
        <v>1809</v>
      </c>
      <c r="L4154" t="str">
        <f>HYPERLINK("https://business-monitor.ch/de/companies/1266594-evodynamics-gmbh?utm_source=oberaargau","PROFIL ANSEHEN")</f>
        <v>PROFIL ANSEHEN</v>
      </c>
    </row>
    <row r="4155" spans="1:12" x14ac:dyDescent="0.2">
      <c r="A4155" t="s">
        <v>3620</v>
      </c>
      <c r="B4155" t="s">
        <v>3621</v>
      </c>
      <c r="C4155" t="s">
        <v>13</v>
      </c>
      <c r="E4155" t="s">
        <v>3622</v>
      </c>
      <c r="F4155">
        <v>3360</v>
      </c>
      <c r="G4155" t="s">
        <v>35</v>
      </c>
      <c r="H4155" t="s">
        <v>16</v>
      </c>
      <c r="I4155" t="s">
        <v>642</v>
      </c>
      <c r="J4155" t="s">
        <v>643</v>
      </c>
      <c r="K4155" t="s">
        <v>1809</v>
      </c>
      <c r="L4155" t="str">
        <f>HYPERLINK("https://business-monitor.ch/de/companies/85541-auto-reinhard-ag?utm_source=oberaargau","PROFIL ANSEHEN")</f>
        <v>PROFIL ANSEHEN</v>
      </c>
    </row>
    <row r="4156" spans="1:12" x14ac:dyDescent="0.2">
      <c r="A4156" t="s">
        <v>4334</v>
      </c>
      <c r="B4156" t="s">
        <v>4335</v>
      </c>
      <c r="C4156" t="s">
        <v>2178</v>
      </c>
      <c r="E4156" t="s">
        <v>4336</v>
      </c>
      <c r="F4156">
        <v>4922</v>
      </c>
      <c r="G4156" t="s">
        <v>99</v>
      </c>
      <c r="H4156" t="s">
        <v>16</v>
      </c>
      <c r="I4156" t="s">
        <v>4247</v>
      </c>
      <c r="J4156" t="s">
        <v>4248</v>
      </c>
      <c r="K4156" t="s">
        <v>1809</v>
      </c>
      <c r="L4156" t="str">
        <f>HYPERLINK("https://business-monitor.ch/de/companies/964957-neurozentrum-oberaargau-ag-niederlassung-buetzberg?utm_source=oberaargau","PROFIL ANSEHEN")</f>
        <v>PROFIL ANSEHEN</v>
      </c>
    </row>
    <row r="4157" spans="1:12" x14ac:dyDescent="0.2">
      <c r="A4157" t="s">
        <v>2899</v>
      </c>
      <c r="B4157" t="s">
        <v>13385</v>
      </c>
      <c r="C4157" t="s">
        <v>202</v>
      </c>
      <c r="E4157" t="s">
        <v>1752</v>
      </c>
      <c r="F4157">
        <v>4537</v>
      </c>
      <c r="G4157" t="s">
        <v>113</v>
      </c>
      <c r="H4157" t="s">
        <v>16</v>
      </c>
      <c r="I4157" t="s">
        <v>2900</v>
      </c>
      <c r="J4157" t="s">
        <v>2901</v>
      </c>
      <c r="K4157" t="s">
        <v>1809</v>
      </c>
      <c r="L4157" t="str">
        <f>HYPERLINK("https://business-monitor.ch/de/companies/463519-selfdrive-gmbh?utm_source=oberaargau","PROFIL ANSEHEN")</f>
        <v>PROFIL ANSEHEN</v>
      </c>
    </row>
    <row r="4158" spans="1:12" x14ac:dyDescent="0.2">
      <c r="A4158" t="s">
        <v>4068</v>
      </c>
      <c r="B4158" t="s">
        <v>4069</v>
      </c>
      <c r="C4158" t="s">
        <v>1812</v>
      </c>
      <c r="E4158" t="s">
        <v>4070</v>
      </c>
      <c r="F4158">
        <v>3380</v>
      </c>
      <c r="G4158" t="s">
        <v>29</v>
      </c>
      <c r="H4158" t="s">
        <v>16</v>
      </c>
      <c r="I4158" t="s">
        <v>507</v>
      </c>
      <c r="J4158" t="s">
        <v>508</v>
      </c>
      <c r="K4158" t="s">
        <v>1809</v>
      </c>
      <c r="L4158" t="str">
        <f>HYPERLINK("https://business-monitor.ch/de/companies/1048657-staedtli-metzg-rieder?utm_source=oberaargau","PROFIL ANSEHEN")</f>
        <v>PROFIL ANSEHEN</v>
      </c>
    </row>
    <row r="4159" spans="1:12" x14ac:dyDescent="0.2">
      <c r="A4159" t="s">
        <v>3085</v>
      </c>
      <c r="B4159" t="s">
        <v>3086</v>
      </c>
      <c r="C4159" t="s">
        <v>1812</v>
      </c>
      <c r="E4159" t="s">
        <v>3087</v>
      </c>
      <c r="F4159">
        <v>4900</v>
      </c>
      <c r="G4159" t="s">
        <v>41</v>
      </c>
      <c r="H4159" t="s">
        <v>16</v>
      </c>
      <c r="I4159" t="s">
        <v>608</v>
      </c>
      <c r="J4159" t="s">
        <v>609</v>
      </c>
      <c r="K4159" t="s">
        <v>1809</v>
      </c>
      <c r="L4159" t="str">
        <f>HYPERLINK("https://business-monitor.ch/de/companies/329625-holz-werk-schreinerei-janosch-fankhauser?utm_source=oberaargau","PROFIL ANSEHEN")</f>
        <v>PROFIL ANSEHEN</v>
      </c>
    </row>
    <row r="4160" spans="1:12" x14ac:dyDescent="0.2">
      <c r="A4160" t="s">
        <v>4597</v>
      </c>
      <c r="B4160" t="s">
        <v>4598</v>
      </c>
      <c r="C4160" t="s">
        <v>202</v>
      </c>
      <c r="E4160" t="s">
        <v>4599</v>
      </c>
      <c r="F4160">
        <v>4923</v>
      </c>
      <c r="G4160" t="s">
        <v>732</v>
      </c>
      <c r="H4160" t="s">
        <v>16</v>
      </c>
      <c r="I4160" t="s">
        <v>335</v>
      </c>
      <c r="J4160" t="s">
        <v>336</v>
      </c>
      <c r="K4160" t="s">
        <v>1809</v>
      </c>
      <c r="L4160" t="str">
        <f>HYPERLINK("https://business-monitor.ch/de/companies/643580-evtech-gmbh?utm_source=oberaargau","PROFIL ANSEHEN")</f>
        <v>PROFIL ANSEHEN</v>
      </c>
    </row>
    <row r="4161" spans="1:12" x14ac:dyDescent="0.2">
      <c r="A4161" t="s">
        <v>5233</v>
      </c>
      <c r="B4161" t="s">
        <v>5234</v>
      </c>
      <c r="C4161" t="s">
        <v>1812</v>
      </c>
      <c r="E4161" t="s">
        <v>5235</v>
      </c>
      <c r="F4161">
        <v>4913</v>
      </c>
      <c r="G4161" t="s">
        <v>207</v>
      </c>
      <c r="H4161" t="s">
        <v>16</v>
      </c>
      <c r="I4161" t="s">
        <v>260</v>
      </c>
      <c r="J4161" t="s">
        <v>261</v>
      </c>
      <c r="K4161" t="s">
        <v>1809</v>
      </c>
      <c r="L4161" t="str">
        <f>HYPERLINK("https://business-monitor.ch/de/companies/603928-riggenbach?utm_source=oberaargau","PROFIL ANSEHEN")</f>
        <v>PROFIL ANSEHEN</v>
      </c>
    </row>
    <row r="4162" spans="1:12" x14ac:dyDescent="0.2">
      <c r="A4162" t="s">
        <v>12219</v>
      </c>
      <c r="B4162" t="s">
        <v>12220</v>
      </c>
      <c r="C4162" t="s">
        <v>1812</v>
      </c>
      <c r="E4162" t="s">
        <v>8131</v>
      </c>
      <c r="F4162">
        <v>4914</v>
      </c>
      <c r="G4162" t="s">
        <v>105</v>
      </c>
      <c r="H4162" t="s">
        <v>16</v>
      </c>
      <c r="I4162" t="s">
        <v>1860</v>
      </c>
      <c r="J4162" t="s">
        <v>1861</v>
      </c>
      <c r="K4162" t="s">
        <v>1809</v>
      </c>
      <c r="L4162" t="str">
        <f>HYPERLINK("https://business-monitor.ch/de/companies/1186040-adelheid-blum?utm_source=oberaargau","PROFIL ANSEHEN")</f>
        <v>PROFIL ANSEHEN</v>
      </c>
    </row>
    <row r="4163" spans="1:12" x14ac:dyDescent="0.2">
      <c r="A4163" t="s">
        <v>9436</v>
      </c>
      <c r="B4163" t="s">
        <v>9437</v>
      </c>
      <c r="C4163" t="s">
        <v>1922</v>
      </c>
      <c r="D4163" t="s">
        <v>9438</v>
      </c>
      <c r="E4163" t="s">
        <v>9439</v>
      </c>
      <c r="F4163">
        <v>4950</v>
      </c>
      <c r="G4163" t="s">
        <v>15</v>
      </c>
      <c r="H4163" t="s">
        <v>16</v>
      </c>
      <c r="I4163" t="s">
        <v>3702</v>
      </c>
      <c r="J4163" t="s">
        <v>3703</v>
      </c>
      <c r="K4163" t="s">
        <v>1809</v>
      </c>
      <c r="L4163" t="str">
        <f>HYPERLINK("https://business-monitor.ch/de/companies/9637-stiftung-ferienheim-huttwil?utm_source=oberaargau","PROFIL ANSEHEN")</f>
        <v>PROFIL ANSEHEN</v>
      </c>
    </row>
    <row r="4164" spans="1:12" x14ac:dyDescent="0.2">
      <c r="A4164" t="s">
        <v>11702</v>
      </c>
      <c r="B4164" t="s">
        <v>11703</v>
      </c>
      <c r="C4164" t="s">
        <v>1812</v>
      </c>
      <c r="E4164" t="s">
        <v>3135</v>
      </c>
      <c r="F4164">
        <v>3360</v>
      </c>
      <c r="G4164" t="s">
        <v>35</v>
      </c>
      <c r="H4164" t="s">
        <v>16</v>
      </c>
      <c r="I4164" t="s">
        <v>2045</v>
      </c>
      <c r="J4164" t="s">
        <v>2046</v>
      </c>
      <c r="K4164" t="s">
        <v>1809</v>
      </c>
      <c r="L4164" t="str">
        <f>HYPERLINK("https://business-monitor.ch/de/companies/1156167-atelier-opak-inh-fabienne-wuethrich?utm_source=oberaargau","PROFIL ANSEHEN")</f>
        <v>PROFIL ANSEHEN</v>
      </c>
    </row>
    <row r="4165" spans="1:12" x14ac:dyDescent="0.2">
      <c r="A4165" t="s">
        <v>13967</v>
      </c>
      <c r="B4165" t="s">
        <v>13968</v>
      </c>
      <c r="C4165" t="s">
        <v>202</v>
      </c>
      <c r="E4165" t="s">
        <v>6705</v>
      </c>
      <c r="F4165">
        <v>4900</v>
      </c>
      <c r="G4165" t="s">
        <v>41</v>
      </c>
      <c r="H4165" t="s">
        <v>16</v>
      </c>
      <c r="I4165" t="s">
        <v>2748</v>
      </c>
      <c r="J4165" t="s">
        <v>2749</v>
      </c>
      <c r="K4165" t="s">
        <v>1809</v>
      </c>
      <c r="L4165" t="str">
        <f>HYPERLINK("https://business-monitor.ch/de/companies/1271993-universell-coaching-hasler-gmbh?utm_source=oberaargau","PROFIL ANSEHEN")</f>
        <v>PROFIL ANSEHEN</v>
      </c>
    </row>
    <row r="4166" spans="1:12" x14ac:dyDescent="0.2">
      <c r="A4166" t="s">
        <v>13889</v>
      </c>
      <c r="B4166" t="s">
        <v>13890</v>
      </c>
      <c r="C4166" t="s">
        <v>1812</v>
      </c>
      <c r="E4166" t="s">
        <v>7601</v>
      </c>
      <c r="F4166">
        <v>4900</v>
      </c>
      <c r="G4166" t="s">
        <v>41</v>
      </c>
      <c r="H4166" t="s">
        <v>16</v>
      </c>
      <c r="I4166" t="s">
        <v>935</v>
      </c>
      <c r="J4166" t="s">
        <v>936</v>
      </c>
      <c r="K4166" t="s">
        <v>1809</v>
      </c>
      <c r="L4166" t="str">
        <f>HYPERLINK("https://business-monitor.ch/de/companies/1270642-ueli-scherer-immobilien?utm_source=oberaargau","PROFIL ANSEHEN")</f>
        <v>PROFIL ANSEHEN</v>
      </c>
    </row>
    <row r="4167" spans="1:12" x14ac:dyDescent="0.2">
      <c r="A4167" t="s">
        <v>14643</v>
      </c>
      <c r="B4167" t="s">
        <v>14644</v>
      </c>
      <c r="C4167" t="s">
        <v>1812</v>
      </c>
      <c r="E4167" t="s">
        <v>9642</v>
      </c>
      <c r="F4167">
        <v>4900</v>
      </c>
      <c r="G4167" t="s">
        <v>41</v>
      </c>
      <c r="H4167" t="s">
        <v>16</v>
      </c>
      <c r="I4167" t="s">
        <v>2350</v>
      </c>
      <c r="J4167" t="s">
        <v>2351</v>
      </c>
      <c r="K4167" t="s">
        <v>1809</v>
      </c>
      <c r="L4167" t="str">
        <f>HYPERLINK("https://business-monitor.ch/de/companies/1303848-dienstleistungen-gulio-antonowicz?utm_source=oberaargau","PROFIL ANSEHEN")</f>
        <v>PROFIL ANSEHEN</v>
      </c>
    </row>
    <row r="4168" spans="1:12" x14ac:dyDescent="0.2">
      <c r="A4168" t="s">
        <v>1750</v>
      </c>
      <c r="B4168" t="s">
        <v>9028</v>
      </c>
      <c r="C4168" t="s">
        <v>202</v>
      </c>
      <c r="E4168" t="s">
        <v>11343</v>
      </c>
      <c r="F4168">
        <v>4900</v>
      </c>
      <c r="G4168" t="s">
        <v>41</v>
      </c>
      <c r="H4168" t="s">
        <v>16</v>
      </c>
      <c r="I4168" t="s">
        <v>2440</v>
      </c>
      <c r="J4168" t="s">
        <v>2441</v>
      </c>
      <c r="K4168" t="s">
        <v>1809</v>
      </c>
      <c r="L4168" t="str">
        <f>HYPERLINK("https://business-monitor.ch/de/companies/218571-mario-heiniger-gmbh?utm_source=oberaargau","PROFIL ANSEHEN")</f>
        <v>PROFIL ANSEHEN</v>
      </c>
    </row>
    <row r="4169" spans="1:12" x14ac:dyDescent="0.2">
      <c r="A4169" t="s">
        <v>12255</v>
      </c>
      <c r="B4169" t="s">
        <v>12256</v>
      </c>
      <c r="C4169" t="s">
        <v>2178</v>
      </c>
      <c r="E4169" t="s">
        <v>1893</v>
      </c>
      <c r="F4169">
        <v>4900</v>
      </c>
      <c r="G4169" t="s">
        <v>41</v>
      </c>
      <c r="H4169" t="s">
        <v>16</v>
      </c>
      <c r="I4169" t="s">
        <v>1835</v>
      </c>
      <c r="J4169" t="s">
        <v>1836</v>
      </c>
      <c r="K4169" t="s">
        <v>1809</v>
      </c>
      <c r="L4169" t="str">
        <f>HYPERLINK("https://business-monitor.ch/de/companies/1191202-cleanup-saladin-gmbh-zweigniederlassung-langenthal?utm_source=oberaargau","PROFIL ANSEHEN")</f>
        <v>PROFIL ANSEHEN</v>
      </c>
    </row>
    <row r="4170" spans="1:12" x14ac:dyDescent="0.2">
      <c r="A4170" t="s">
        <v>5214</v>
      </c>
      <c r="B4170" t="s">
        <v>5215</v>
      </c>
      <c r="C4170" t="s">
        <v>202</v>
      </c>
      <c r="E4170" t="s">
        <v>5216</v>
      </c>
      <c r="F4170">
        <v>4924</v>
      </c>
      <c r="G4170" t="s">
        <v>3727</v>
      </c>
      <c r="H4170" t="s">
        <v>16</v>
      </c>
      <c r="I4170" t="s">
        <v>781</v>
      </c>
      <c r="J4170" t="s">
        <v>782</v>
      </c>
      <c r="K4170" t="s">
        <v>1809</v>
      </c>
      <c r="L4170" t="str">
        <f>HYPERLINK("https://business-monitor.ch/de/companies/592262-ruf-steuerungstechnik-gmbh?utm_source=oberaargau","PROFIL ANSEHEN")</f>
        <v>PROFIL ANSEHEN</v>
      </c>
    </row>
    <row r="4171" spans="1:12" x14ac:dyDescent="0.2">
      <c r="A4171" t="s">
        <v>6265</v>
      </c>
      <c r="B4171" t="s">
        <v>7906</v>
      </c>
      <c r="C4171" t="s">
        <v>13</v>
      </c>
      <c r="E4171" t="s">
        <v>2690</v>
      </c>
      <c r="F4171">
        <v>4950</v>
      </c>
      <c r="G4171" t="s">
        <v>15</v>
      </c>
      <c r="H4171" t="s">
        <v>16</v>
      </c>
      <c r="I4171" t="s">
        <v>955</v>
      </c>
      <c r="J4171" t="s">
        <v>956</v>
      </c>
      <c r="K4171" t="s">
        <v>1809</v>
      </c>
      <c r="L4171" t="str">
        <f>HYPERLINK("https://business-monitor.ch/de/companies/338685-minder-ag-service?utm_source=oberaargau","PROFIL ANSEHEN")</f>
        <v>PROFIL ANSEHEN</v>
      </c>
    </row>
    <row r="4172" spans="1:12" x14ac:dyDescent="0.2">
      <c r="A4172" t="s">
        <v>8311</v>
      </c>
      <c r="B4172" t="s">
        <v>8312</v>
      </c>
      <c r="C4172" t="s">
        <v>1812</v>
      </c>
      <c r="E4172" t="s">
        <v>8313</v>
      </c>
      <c r="F4172">
        <v>3368</v>
      </c>
      <c r="G4172" t="s">
        <v>308</v>
      </c>
      <c r="H4172" t="s">
        <v>16</v>
      </c>
      <c r="I4172" t="s">
        <v>542</v>
      </c>
      <c r="J4172" t="s">
        <v>543</v>
      </c>
      <c r="K4172" t="s">
        <v>1809</v>
      </c>
      <c r="L4172" t="str">
        <f>HYPERLINK("https://business-monitor.ch/de/companies/432956-ru-mo-tech-ruch?utm_source=oberaargau","PROFIL ANSEHEN")</f>
        <v>PROFIL ANSEHEN</v>
      </c>
    </row>
    <row r="4173" spans="1:12" x14ac:dyDescent="0.2">
      <c r="A4173" t="s">
        <v>4282</v>
      </c>
      <c r="B4173" t="s">
        <v>4283</v>
      </c>
      <c r="C4173" t="s">
        <v>1812</v>
      </c>
      <c r="E4173" t="s">
        <v>4284</v>
      </c>
      <c r="F4173">
        <v>4932</v>
      </c>
      <c r="G4173" t="s">
        <v>325</v>
      </c>
      <c r="H4173" t="s">
        <v>16</v>
      </c>
      <c r="I4173" t="s">
        <v>2226</v>
      </c>
      <c r="J4173" t="s">
        <v>2227</v>
      </c>
      <c r="K4173" t="s">
        <v>1809</v>
      </c>
      <c r="L4173" t="str">
        <f>HYPERLINK("https://business-monitor.ch/de/companies/977679-barbara-hasler-i-barunovida?utm_source=oberaargau","PROFIL ANSEHEN")</f>
        <v>PROFIL ANSEHEN</v>
      </c>
    </row>
    <row r="4174" spans="1:12" x14ac:dyDescent="0.2">
      <c r="A4174" t="s">
        <v>9710</v>
      </c>
      <c r="B4174" t="s">
        <v>9711</v>
      </c>
      <c r="C4174" t="s">
        <v>1812</v>
      </c>
      <c r="E4174" t="s">
        <v>9712</v>
      </c>
      <c r="F4174">
        <v>4953</v>
      </c>
      <c r="G4174" t="s">
        <v>416</v>
      </c>
      <c r="H4174" t="s">
        <v>16</v>
      </c>
      <c r="I4174" t="s">
        <v>2939</v>
      </c>
      <c r="J4174" t="s">
        <v>2940</v>
      </c>
      <c r="K4174" t="s">
        <v>1809</v>
      </c>
      <c r="L4174" t="str">
        <f>HYPERLINK("https://business-monitor.ch/de/companies/1046978-velofritz-jordi?utm_source=oberaargau","PROFIL ANSEHEN")</f>
        <v>PROFIL ANSEHEN</v>
      </c>
    </row>
    <row r="4175" spans="1:12" x14ac:dyDescent="0.2">
      <c r="A4175" t="s">
        <v>9875</v>
      </c>
      <c r="B4175" t="s">
        <v>9876</v>
      </c>
      <c r="C4175" t="s">
        <v>13</v>
      </c>
      <c r="E4175" t="s">
        <v>678</v>
      </c>
      <c r="F4175">
        <v>3360</v>
      </c>
      <c r="G4175" t="s">
        <v>35</v>
      </c>
      <c r="H4175" t="s">
        <v>16</v>
      </c>
      <c r="I4175" t="s">
        <v>182</v>
      </c>
      <c r="J4175" t="s">
        <v>183</v>
      </c>
      <c r="K4175" t="s">
        <v>1809</v>
      </c>
      <c r="L4175" t="str">
        <f>HYPERLINK("https://business-monitor.ch/de/companies/979867-fritz-aegerter-holding-ag?utm_source=oberaargau","PROFIL ANSEHEN")</f>
        <v>PROFIL ANSEHEN</v>
      </c>
    </row>
    <row r="4176" spans="1:12" x14ac:dyDescent="0.2">
      <c r="A4176" t="s">
        <v>14645</v>
      </c>
      <c r="B4176" t="s">
        <v>14646</v>
      </c>
      <c r="C4176" t="s">
        <v>202</v>
      </c>
      <c r="E4176" t="s">
        <v>3471</v>
      </c>
      <c r="F4176">
        <v>4900</v>
      </c>
      <c r="G4176" t="s">
        <v>41</v>
      </c>
      <c r="H4176" t="s">
        <v>16</v>
      </c>
      <c r="I4176" t="s">
        <v>781</v>
      </c>
      <c r="J4176" t="s">
        <v>782</v>
      </c>
      <c r="K4176" t="s">
        <v>1809</v>
      </c>
      <c r="L4176" t="str">
        <f>HYPERLINK("https://business-monitor.ch/de/companies/1296598-gmb-technik-service-gmbh?utm_source=oberaargau","PROFIL ANSEHEN")</f>
        <v>PROFIL ANSEHEN</v>
      </c>
    </row>
    <row r="4177" spans="1:12" x14ac:dyDescent="0.2">
      <c r="A4177" t="s">
        <v>6405</v>
      </c>
      <c r="B4177" t="s">
        <v>6457</v>
      </c>
      <c r="C4177" t="s">
        <v>13</v>
      </c>
      <c r="E4177" t="s">
        <v>6458</v>
      </c>
      <c r="F4177">
        <v>3360</v>
      </c>
      <c r="G4177" t="s">
        <v>35</v>
      </c>
      <c r="H4177" t="s">
        <v>16</v>
      </c>
      <c r="I4177" t="s">
        <v>668</v>
      </c>
      <c r="J4177" t="s">
        <v>669</v>
      </c>
      <c r="K4177" t="s">
        <v>1809</v>
      </c>
      <c r="L4177" t="str">
        <f>HYPERLINK("https://business-monitor.ch/de/companies/270093-fsg-motorsport-ag?utm_source=oberaargau","PROFIL ANSEHEN")</f>
        <v>PROFIL ANSEHEN</v>
      </c>
    </row>
    <row r="4178" spans="1:12" x14ac:dyDescent="0.2">
      <c r="A4178" t="s">
        <v>14041</v>
      </c>
      <c r="B4178" t="s">
        <v>14042</v>
      </c>
      <c r="C4178" t="s">
        <v>13</v>
      </c>
      <c r="E4178" t="s">
        <v>8084</v>
      </c>
      <c r="F4178">
        <v>4704</v>
      </c>
      <c r="G4178" t="s">
        <v>221</v>
      </c>
      <c r="H4178" t="s">
        <v>16</v>
      </c>
      <c r="I4178" t="s">
        <v>77</v>
      </c>
      <c r="J4178" t="s">
        <v>78</v>
      </c>
      <c r="K4178" t="s">
        <v>1809</v>
      </c>
      <c r="L4178" t="str">
        <f>HYPERLINK("https://business-monitor.ch/de/companies/1276006-cb-liegenschaften-ag?utm_source=oberaargau","PROFIL ANSEHEN")</f>
        <v>PROFIL ANSEHEN</v>
      </c>
    </row>
    <row r="4179" spans="1:12" x14ac:dyDescent="0.2">
      <c r="A4179" t="s">
        <v>7356</v>
      </c>
      <c r="B4179" t="s">
        <v>7357</v>
      </c>
      <c r="C4179" t="s">
        <v>13</v>
      </c>
      <c r="E4179" t="s">
        <v>7358</v>
      </c>
      <c r="F4179">
        <v>3360</v>
      </c>
      <c r="G4179" t="s">
        <v>35</v>
      </c>
      <c r="H4179" t="s">
        <v>16</v>
      </c>
      <c r="I4179" t="s">
        <v>560</v>
      </c>
      <c r="J4179" t="s">
        <v>561</v>
      </c>
      <c r="K4179" t="s">
        <v>1809</v>
      </c>
      <c r="L4179" t="str">
        <f>HYPERLINK("https://business-monitor.ch/de/companies/982108-apotheke-dr-kuepfer-ag?utm_source=oberaargau","PROFIL ANSEHEN")</f>
        <v>PROFIL ANSEHEN</v>
      </c>
    </row>
    <row r="4180" spans="1:12" x14ac:dyDescent="0.2">
      <c r="A4180" t="s">
        <v>9494</v>
      </c>
      <c r="B4180" t="s">
        <v>9495</v>
      </c>
      <c r="C4180" t="s">
        <v>1812</v>
      </c>
      <c r="E4180" t="s">
        <v>1130</v>
      </c>
      <c r="F4180">
        <v>4900</v>
      </c>
      <c r="G4180" t="s">
        <v>41</v>
      </c>
      <c r="H4180" t="s">
        <v>16</v>
      </c>
      <c r="I4180" t="s">
        <v>2226</v>
      </c>
      <c r="J4180" t="s">
        <v>2227</v>
      </c>
      <c r="K4180" t="s">
        <v>1809</v>
      </c>
      <c r="L4180" t="str">
        <f>HYPERLINK("https://business-monitor.ch/de/companies/679633-osteowerk-annabel-looser?utm_source=oberaargau","PROFIL ANSEHEN")</f>
        <v>PROFIL ANSEHEN</v>
      </c>
    </row>
    <row r="4181" spans="1:12" x14ac:dyDescent="0.2">
      <c r="A4181" t="s">
        <v>13786</v>
      </c>
      <c r="B4181" t="s">
        <v>13787</v>
      </c>
      <c r="C4181" t="s">
        <v>202</v>
      </c>
      <c r="E4181" t="s">
        <v>9733</v>
      </c>
      <c r="F4181">
        <v>4936</v>
      </c>
      <c r="G4181" t="s">
        <v>768</v>
      </c>
      <c r="H4181" t="s">
        <v>16</v>
      </c>
      <c r="I4181" t="s">
        <v>438</v>
      </c>
      <c r="J4181" t="s">
        <v>439</v>
      </c>
      <c r="K4181" t="s">
        <v>1809</v>
      </c>
      <c r="L4181" t="str">
        <f>HYPERLINK("https://business-monitor.ch/de/companies/1262211-jgp-group-gmbh?utm_source=oberaargau","PROFIL ANSEHEN")</f>
        <v>PROFIL ANSEHEN</v>
      </c>
    </row>
    <row r="4182" spans="1:12" x14ac:dyDescent="0.2">
      <c r="A4182" t="s">
        <v>4001</v>
      </c>
      <c r="B4182" t="s">
        <v>4002</v>
      </c>
      <c r="C4182" t="s">
        <v>202</v>
      </c>
      <c r="E4182" t="s">
        <v>4003</v>
      </c>
      <c r="F4182">
        <v>4704</v>
      </c>
      <c r="G4182" t="s">
        <v>221</v>
      </c>
      <c r="H4182" t="s">
        <v>16</v>
      </c>
      <c r="I4182" t="s">
        <v>175</v>
      </c>
      <c r="J4182" t="s">
        <v>176</v>
      </c>
      <c r="K4182" t="s">
        <v>1809</v>
      </c>
      <c r="L4182" t="str">
        <f>HYPERLINK("https://business-monitor.ch/de/companies/677706-a1-carrosserie-gmbh?utm_source=oberaargau","PROFIL ANSEHEN")</f>
        <v>PROFIL ANSEHEN</v>
      </c>
    </row>
    <row r="4183" spans="1:12" x14ac:dyDescent="0.2">
      <c r="A4183" t="s">
        <v>10573</v>
      </c>
      <c r="B4183" t="s">
        <v>10574</v>
      </c>
      <c r="C4183" t="s">
        <v>1812</v>
      </c>
      <c r="E4183" t="s">
        <v>482</v>
      </c>
      <c r="F4183">
        <v>4922</v>
      </c>
      <c r="G4183" t="s">
        <v>99</v>
      </c>
      <c r="H4183" t="s">
        <v>16</v>
      </c>
      <c r="I4183" t="s">
        <v>340</v>
      </c>
      <c r="J4183" t="s">
        <v>341</v>
      </c>
      <c r="K4183" t="s">
        <v>1809</v>
      </c>
      <c r="L4183" t="str">
        <f>HYPERLINK("https://business-monitor.ch/de/companies/320756-horisberger-dienstleistungs-partner?utm_source=oberaargau","PROFIL ANSEHEN")</f>
        <v>PROFIL ANSEHEN</v>
      </c>
    </row>
    <row r="4184" spans="1:12" x14ac:dyDescent="0.2">
      <c r="A4184" t="s">
        <v>13973</v>
      </c>
      <c r="B4184" t="s">
        <v>13974</v>
      </c>
      <c r="C4184" t="s">
        <v>1812</v>
      </c>
      <c r="E4184" t="s">
        <v>13975</v>
      </c>
      <c r="F4184">
        <v>4914</v>
      </c>
      <c r="G4184" t="s">
        <v>105</v>
      </c>
      <c r="H4184" t="s">
        <v>16</v>
      </c>
      <c r="I4184" t="s">
        <v>748</v>
      </c>
      <c r="J4184" t="s">
        <v>749</v>
      </c>
      <c r="K4184" t="s">
        <v>1809</v>
      </c>
      <c r="L4184" t="str">
        <f>HYPERLINK("https://business-monitor.ch/de/companies/1277728-maler-gipser-ganibegovic?utm_source=oberaargau","PROFIL ANSEHEN")</f>
        <v>PROFIL ANSEHEN</v>
      </c>
    </row>
    <row r="4185" spans="1:12" x14ac:dyDescent="0.2">
      <c r="A4185" t="s">
        <v>7129</v>
      </c>
      <c r="B4185" t="s">
        <v>7130</v>
      </c>
      <c r="C4185" t="s">
        <v>1827</v>
      </c>
      <c r="E4185" t="s">
        <v>7131</v>
      </c>
      <c r="F4185">
        <v>4914</v>
      </c>
      <c r="G4185" t="s">
        <v>105</v>
      </c>
      <c r="H4185" t="s">
        <v>16</v>
      </c>
      <c r="I4185" t="s">
        <v>824</v>
      </c>
      <c r="J4185" t="s">
        <v>825</v>
      </c>
      <c r="K4185" t="s">
        <v>1809</v>
      </c>
      <c r="L4185" t="str">
        <f>HYPERLINK("https://business-monitor.ch/de/companies/647521-restaurant-roggen-j-s-schmidt?utm_source=oberaargau","PROFIL ANSEHEN")</f>
        <v>PROFIL ANSEHEN</v>
      </c>
    </row>
    <row r="4186" spans="1:12" x14ac:dyDescent="0.2">
      <c r="A4186" t="s">
        <v>14647</v>
      </c>
      <c r="B4186" t="s">
        <v>14648</v>
      </c>
      <c r="C4186" t="s">
        <v>1812</v>
      </c>
      <c r="E4186" t="s">
        <v>14649</v>
      </c>
      <c r="F4186">
        <v>4900</v>
      </c>
      <c r="G4186" t="s">
        <v>41</v>
      </c>
      <c r="H4186" t="s">
        <v>16</v>
      </c>
      <c r="I4186" t="s">
        <v>134</v>
      </c>
      <c r="J4186" t="s">
        <v>135</v>
      </c>
      <c r="K4186" t="s">
        <v>1809</v>
      </c>
      <c r="L4186" t="str">
        <f>HYPERLINK("https://business-monitor.ch/de/companies/1298392-rs4you-schuster?utm_source=oberaargau","PROFIL ANSEHEN")</f>
        <v>PROFIL ANSEHEN</v>
      </c>
    </row>
    <row r="4187" spans="1:12" x14ac:dyDescent="0.2">
      <c r="A4187" t="s">
        <v>6539</v>
      </c>
      <c r="B4187" t="s">
        <v>6540</v>
      </c>
      <c r="C4187" t="s">
        <v>202</v>
      </c>
      <c r="E4187" t="s">
        <v>6125</v>
      </c>
      <c r="F4187">
        <v>4704</v>
      </c>
      <c r="G4187" t="s">
        <v>221</v>
      </c>
      <c r="H4187" t="s">
        <v>16</v>
      </c>
      <c r="I4187" t="s">
        <v>4039</v>
      </c>
      <c r="J4187" t="s">
        <v>4040</v>
      </c>
      <c r="K4187" t="s">
        <v>1809</v>
      </c>
      <c r="L4187" t="str">
        <f>HYPERLINK("https://business-monitor.ch/de/companies/994068-aura-sport-gmbh?utm_source=oberaargau","PROFIL ANSEHEN")</f>
        <v>PROFIL ANSEHEN</v>
      </c>
    </row>
    <row r="4188" spans="1:12" x14ac:dyDescent="0.2">
      <c r="A4188" t="s">
        <v>14046</v>
      </c>
      <c r="B4188" t="s">
        <v>14047</v>
      </c>
      <c r="C4188" t="s">
        <v>202</v>
      </c>
      <c r="E4188" t="s">
        <v>14048</v>
      </c>
      <c r="F4188">
        <v>4704</v>
      </c>
      <c r="G4188" t="s">
        <v>221</v>
      </c>
      <c r="H4188" t="s">
        <v>16</v>
      </c>
      <c r="I4188" t="s">
        <v>1296</v>
      </c>
      <c r="J4188" t="s">
        <v>1297</v>
      </c>
      <c r="K4188" t="s">
        <v>1809</v>
      </c>
      <c r="L4188" t="str">
        <f>HYPERLINK("https://business-monitor.ch/de/companies/989761-ah-communication-gmbh?utm_source=oberaargau","PROFIL ANSEHEN")</f>
        <v>PROFIL ANSEHEN</v>
      </c>
    </row>
    <row r="4189" spans="1:12" x14ac:dyDescent="0.2">
      <c r="A4189" t="s">
        <v>4234</v>
      </c>
      <c r="B4189" t="s">
        <v>4235</v>
      </c>
      <c r="C4189" t="s">
        <v>1922</v>
      </c>
      <c r="D4189" t="s">
        <v>4236</v>
      </c>
      <c r="E4189" t="s">
        <v>14203</v>
      </c>
      <c r="F4189">
        <v>4900</v>
      </c>
      <c r="G4189" t="s">
        <v>41</v>
      </c>
      <c r="H4189" t="s">
        <v>16</v>
      </c>
      <c r="I4189" t="s">
        <v>640</v>
      </c>
      <c r="J4189" t="s">
        <v>641</v>
      </c>
      <c r="K4189" t="s">
        <v>1809</v>
      </c>
      <c r="L4189" t="str">
        <f>HYPERLINK("https://business-monitor.ch/de/companies/992205-fagus-lucida-stiftung?utm_source=oberaargau","PROFIL ANSEHEN")</f>
        <v>PROFIL ANSEHEN</v>
      </c>
    </row>
    <row r="4190" spans="1:12" x14ac:dyDescent="0.2">
      <c r="A4190" t="s">
        <v>3005</v>
      </c>
      <c r="B4190" t="s">
        <v>3006</v>
      </c>
      <c r="C4190" t="s">
        <v>1827</v>
      </c>
      <c r="E4190" t="s">
        <v>756</v>
      </c>
      <c r="F4190">
        <v>3360</v>
      </c>
      <c r="G4190" t="s">
        <v>35</v>
      </c>
      <c r="H4190" t="s">
        <v>16</v>
      </c>
      <c r="I4190" t="s">
        <v>24</v>
      </c>
      <c r="J4190" t="s">
        <v>25</v>
      </c>
      <c r="K4190" t="s">
        <v>1809</v>
      </c>
      <c r="L4190" t="str">
        <f>HYPERLINK("https://business-monitor.ch/de/companies/353756-zahn-partner?utm_source=oberaargau","PROFIL ANSEHEN")</f>
        <v>PROFIL ANSEHEN</v>
      </c>
    </row>
    <row r="4191" spans="1:12" x14ac:dyDescent="0.2">
      <c r="A4191" t="s">
        <v>8796</v>
      </c>
      <c r="B4191" t="s">
        <v>8797</v>
      </c>
      <c r="C4191" t="s">
        <v>1812</v>
      </c>
      <c r="E4191" t="s">
        <v>8798</v>
      </c>
      <c r="F4191">
        <v>4942</v>
      </c>
      <c r="G4191" t="s">
        <v>1287</v>
      </c>
      <c r="H4191" t="s">
        <v>16</v>
      </c>
      <c r="I4191" t="s">
        <v>781</v>
      </c>
      <c r="J4191" t="s">
        <v>782</v>
      </c>
      <c r="K4191" t="s">
        <v>1809</v>
      </c>
      <c r="L4191" t="str">
        <f>HYPERLINK("https://business-monitor.ch/de/companies/355188-farmservice-hsj-waelchli?utm_source=oberaargau","PROFIL ANSEHEN")</f>
        <v>PROFIL ANSEHEN</v>
      </c>
    </row>
    <row r="4192" spans="1:12" x14ac:dyDescent="0.2">
      <c r="A4192" t="s">
        <v>13897</v>
      </c>
      <c r="B4192" t="s">
        <v>13898</v>
      </c>
      <c r="C4192" t="s">
        <v>202</v>
      </c>
      <c r="E4192" t="s">
        <v>12271</v>
      </c>
      <c r="F4192">
        <v>3360</v>
      </c>
      <c r="G4192" t="s">
        <v>35</v>
      </c>
      <c r="H4192" t="s">
        <v>16</v>
      </c>
      <c r="I4192" t="s">
        <v>232</v>
      </c>
      <c r="J4192" t="s">
        <v>233</v>
      </c>
      <c r="K4192" t="s">
        <v>1809</v>
      </c>
      <c r="L4192" t="str">
        <f>HYPERLINK("https://business-monitor.ch/de/companies/1270023-ovious-treuhand-gmbh?utm_source=oberaargau","PROFIL ANSEHEN")</f>
        <v>PROFIL ANSEHEN</v>
      </c>
    </row>
    <row r="4193" spans="1:12" x14ac:dyDescent="0.2">
      <c r="A4193" t="s">
        <v>14650</v>
      </c>
      <c r="B4193" t="s">
        <v>14651</v>
      </c>
      <c r="C4193" t="s">
        <v>1812</v>
      </c>
      <c r="E4193" t="s">
        <v>14652</v>
      </c>
      <c r="F4193">
        <v>3377</v>
      </c>
      <c r="G4193" t="s">
        <v>1307</v>
      </c>
      <c r="H4193" t="s">
        <v>16</v>
      </c>
      <c r="I4193" t="s">
        <v>2842</v>
      </c>
      <c r="J4193" t="s">
        <v>2843</v>
      </c>
      <c r="K4193" t="s">
        <v>1809</v>
      </c>
      <c r="L4193" t="str">
        <f>HYPERLINK("https://business-monitor.ch/de/companies/1302361-wenger-handel-projekte?utm_source=oberaargau","PROFIL ANSEHEN")</f>
        <v>PROFIL ANSEHEN</v>
      </c>
    </row>
    <row r="4194" spans="1:12" x14ac:dyDescent="0.2">
      <c r="A4194" t="s">
        <v>3904</v>
      </c>
      <c r="B4194" t="s">
        <v>3905</v>
      </c>
      <c r="C4194" t="s">
        <v>1812</v>
      </c>
      <c r="E4194" t="s">
        <v>2470</v>
      </c>
      <c r="F4194">
        <v>3475</v>
      </c>
      <c r="G4194" t="s">
        <v>965</v>
      </c>
      <c r="H4194" t="s">
        <v>16</v>
      </c>
      <c r="I4194" t="s">
        <v>642</v>
      </c>
      <c r="J4194" t="s">
        <v>643</v>
      </c>
      <c r="K4194" t="s">
        <v>1809</v>
      </c>
      <c r="L4194" t="str">
        <f>HYPERLINK("https://business-monitor.ch/de/companies/997429-poschung-sport?utm_source=oberaargau","PROFIL ANSEHEN")</f>
        <v>PROFIL ANSEHEN</v>
      </c>
    </row>
    <row r="4195" spans="1:12" x14ac:dyDescent="0.2">
      <c r="A4195" t="s">
        <v>8647</v>
      </c>
      <c r="B4195" t="s">
        <v>8648</v>
      </c>
      <c r="C4195" t="s">
        <v>1812</v>
      </c>
      <c r="E4195" t="s">
        <v>8649</v>
      </c>
      <c r="F4195">
        <v>4917</v>
      </c>
      <c r="G4195" t="s">
        <v>376</v>
      </c>
      <c r="H4195" t="s">
        <v>16</v>
      </c>
      <c r="I4195" t="s">
        <v>3339</v>
      </c>
      <c r="J4195" t="s">
        <v>3340</v>
      </c>
      <c r="K4195" t="s">
        <v>1809</v>
      </c>
      <c r="L4195" t="str">
        <f>HYPERLINK("https://business-monitor.ch/de/companies/413729-sincera-cosmetics-therese-hasler?utm_source=oberaargau","PROFIL ANSEHEN")</f>
        <v>PROFIL ANSEHEN</v>
      </c>
    </row>
    <row r="4196" spans="1:12" x14ac:dyDescent="0.2">
      <c r="A4196" t="s">
        <v>1333</v>
      </c>
      <c r="B4196" t="s">
        <v>1334</v>
      </c>
      <c r="C4196" t="s">
        <v>13</v>
      </c>
      <c r="E4196" t="s">
        <v>1335</v>
      </c>
      <c r="F4196">
        <v>3367</v>
      </c>
      <c r="G4196" t="s">
        <v>1336</v>
      </c>
      <c r="H4196" t="s">
        <v>16</v>
      </c>
      <c r="I4196" t="s">
        <v>1337</v>
      </c>
      <c r="J4196" t="s">
        <v>1338</v>
      </c>
      <c r="K4196" t="s">
        <v>1809</v>
      </c>
      <c r="L4196" t="str">
        <f>HYPERLINK("https://business-monitor.ch/de/companies/196599-bacol-ag?utm_source=oberaargau","PROFIL ANSEHEN")</f>
        <v>PROFIL ANSEHEN</v>
      </c>
    </row>
    <row r="4197" spans="1:12" x14ac:dyDescent="0.2">
      <c r="A4197" t="s">
        <v>4231</v>
      </c>
      <c r="B4197" t="s">
        <v>4232</v>
      </c>
      <c r="C4197" t="s">
        <v>202</v>
      </c>
      <c r="E4197" t="s">
        <v>4233</v>
      </c>
      <c r="F4197">
        <v>4900</v>
      </c>
      <c r="G4197" t="s">
        <v>41</v>
      </c>
      <c r="H4197" t="s">
        <v>16</v>
      </c>
      <c r="I4197" t="s">
        <v>1296</v>
      </c>
      <c r="J4197" t="s">
        <v>1297</v>
      </c>
      <c r="K4197" t="s">
        <v>1809</v>
      </c>
      <c r="L4197" t="str">
        <f>HYPERLINK("https://business-monitor.ch/de/companies/992630-textwerk-langenthal-gmbh?utm_source=oberaargau","PROFIL ANSEHEN")</f>
        <v>PROFIL ANSEHEN</v>
      </c>
    </row>
    <row r="4198" spans="1:12" x14ac:dyDescent="0.2">
      <c r="A4198" t="s">
        <v>3588</v>
      </c>
      <c r="B4198" t="s">
        <v>3589</v>
      </c>
      <c r="C4198" t="s">
        <v>1922</v>
      </c>
      <c r="E4198" t="s">
        <v>3590</v>
      </c>
      <c r="F4198">
        <v>3360</v>
      </c>
      <c r="G4198" t="s">
        <v>35</v>
      </c>
      <c r="H4198" t="s">
        <v>16</v>
      </c>
      <c r="I4198" t="s">
        <v>3591</v>
      </c>
      <c r="J4198" t="s">
        <v>3592</v>
      </c>
      <c r="K4198" t="s">
        <v>1809</v>
      </c>
      <c r="L4198" t="str">
        <f>HYPERLINK("https://business-monitor.ch/de/companies/105412-stiftung-gemeindebibliothek-herzogenbuchsee-und-umgebung?utm_source=oberaargau","PROFIL ANSEHEN")</f>
        <v>PROFIL ANSEHEN</v>
      </c>
    </row>
    <row r="4199" spans="1:12" x14ac:dyDescent="0.2">
      <c r="A4199" t="s">
        <v>3387</v>
      </c>
      <c r="B4199" t="s">
        <v>3388</v>
      </c>
      <c r="C4199" t="s">
        <v>1812</v>
      </c>
      <c r="E4199" t="s">
        <v>569</v>
      </c>
      <c r="F4199">
        <v>4950</v>
      </c>
      <c r="G4199" t="s">
        <v>15</v>
      </c>
      <c r="H4199" t="s">
        <v>16</v>
      </c>
      <c r="I4199" t="s">
        <v>10263</v>
      </c>
      <c r="J4199" t="s">
        <v>10264</v>
      </c>
      <c r="K4199" t="s">
        <v>1809</v>
      </c>
      <c r="L4199" t="str">
        <f>HYPERLINK("https://business-monitor.ch/de/companies/202328-paul-rueeger?utm_source=oberaargau","PROFIL ANSEHEN")</f>
        <v>PROFIL ANSEHEN</v>
      </c>
    </row>
    <row r="4200" spans="1:12" x14ac:dyDescent="0.2">
      <c r="A4200" t="s">
        <v>4223</v>
      </c>
      <c r="B4200" t="s">
        <v>4224</v>
      </c>
      <c r="C4200" t="s">
        <v>2178</v>
      </c>
      <c r="E4200" t="s">
        <v>4225</v>
      </c>
      <c r="F4200">
        <v>3362</v>
      </c>
      <c r="G4200" t="s">
        <v>47</v>
      </c>
      <c r="H4200" t="s">
        <v>16</v>
      </c>
      <c r="I4200" t="s">
        <v>2244</v>
      </c>
      <c r="J4200" t="s">
        <v>2245</v>
      </c>
      <c r="K4200" t="s">
        <v>1809</v>
      </c>
      <c r="L4200" t="str">
        <f>HYPERLINK("https://business-monitor.ch/de/companies/996077-lifetec-ag-schweiz-zweigniederlassung-region-bern?utm_source=oberaargau","PROFIL ANSEHEN")</f>
        <v>PROFIL ANSEHEN</v>
      </c>
    </row>
    <row r="4201" spans="1:12" x14ac:dyDescent="0.2">
      <c r="A4201" t="s">
        <v>1520</v>
      </c>
      <c r="B4201" t="s">
        <v>1521</v>
      </c>
      <c r="C4201" t="s">
        <v>13</v>
      </c>
      <c r="E4201" t="s">
        <v>1522</v>
      </c>
      <c r="F4201">
        <v>4934</v>
      </c>
      <c r="G4201" t="s">
        <v>670</v>
      </c>
      <c r="H4201" t="s">
        <v>16</v>
      </c>
      <c r="I4201" t="s">
        <v>1361</v>
      </c>
      <c r="J4201" t="s">
        <v>1362</v>
      </c>
      <c r="K4201" t="s">
        <v>1809</v>
      </c>
      <c r="L4201" t="str">
        <f>HYPERLINK("https://business-monitor.ch/de/companies/465985-promofashion-ag?utm_source=oberaargau","PROFIL ANSEHEN")</f>
        <v>PROFIL ANSEHEN</v>
      </c>
    </row>
    <row r="4202" spans="1:12" x14ac:dyDescent="0.2">
      <c r="A4202" t="s">
        <v>5186</v>
      </c>
      <c r="B4202" t="s">
        <v>5187</v>
      </c>
      <c r="C4202" t="s">
        <v>1812</v>
      </c>
      <c r="E4202" t="s">
        <v>5188</v>
      </c>
      <c r="F4202">
        <v>4900</v>
      </c>
      <c r="G4202" t="s">
        <v>41</v>
      </c>
      <c r="H4202" t="s">
        <v>16</v>
      </c>
      <c r="I4202" t="s">
        <v>854</v>
      </c>
      <c r="J4202" t="s">
        <v>855</v>
      </c>
      <c r="K4202" t="s">
        <v>1809</v>
      </c>
      <c r="L4202" t="str">
        <f>HYPERLINK("https://business-monitor.ch/de/companies/267882-kreiseins-muehlemann?utm_source=oberaargau","PROFIL ANSEHEN")</f>
        <v>PROFIL ANSEHEN</v>
      </c>
    </row>
    <row r="4203" spans="1:12" x14ac:dyDescent="0.2">
      <c r="A4203" t="s">
        <v>5851</v>
      </c>
      <c r="B4203" t="s">
        <v>5852</v>
      </c>
      <c r="C4203" t="s">
        <v>202</v>
      </c>
      <c r="E4203" t="s">
        <v>2362</v>
      </c>
      <c r="F4203">
        <v>3366</v>
      </c>
      <c r="G4203" t="s">
        <v>5853</v>
      </c>
      <c r="H4203" t="s">
        <v>16</v>
      </c>
      <c r="I4203" t="s">
        <v>157</v>
      </c>
      <c r="J4203" t="s">
        <v>158</v>
      </c>
      <c r="K4203" t="s">
        <v>1809</v>
      </c>
      <c r="L4203" t="str">
        <f>HYPERLINK("https://business-monitor.ch/de/companies/512457-rmh-liegenschaft-gmbh?utm_source=oberaargau","PROFIL ANSEHEN")</f>
        <v>PROFIL ANSEHEN</v>
      </c>
    </row>
    <row r="4204" spans="1:12" x14ac:dyDescent="0.2">
      <c r="A4204" t="s">
        <v>9362</v>
      </c>
      <c r="B4204" t="s">
        <v>9363</v>
      </c>
      <c r="C4204" t="s">
        <v>84</v>
      </c>
      <c r="D4204" t="s">
        <v>9364</v>
      </c>
      <c r="E4204" t="s">
        <v>6549</v>
      </c>
      <c r="F4204">
        <v>4914</v>
      </c>
      <c r="G4204" t="s">
        <v>105</v>
      </c>
      <c r="H4204" t="s">
        <v>16</v>
      </c>
      <c r="I4204" t="s">
        <v>157</v>
      </c>
      <c r="J4204" t="s">
        <v>158</v>
      </c>
      <c r="K4204" t="s">
        <v>1809</v>
      </c>
      <c r="L4204" t="str">
        <f>HYPERLINK("https://business-monitor.ch/de/companies/70451-grunholz-waesseracker-genossenschaft?utm_source=oberaargau","PROFIL ANSEHEN")</f>
        <v>PROFIL ANSEHEN</v>
      </c>
    </row>
    <row r="4205" spans="1:12" x14ac:dyDescent="0.2">
      <c r="A4205" t="s">
        <v>13111</v>
      </c>
      <c r="B4205" t="s">
        <v>13112</v>
      </c>
      <c r="C4205" t="s">
        <v>202</v>
      </c>
      <c r="E4205" t="s">
        <v>12206</v>
      </c>
      <c r="F4205">
        <v>4536</v>
      </c>
      <c r="G4205" t="s">
        <v>1395</v>
      </c>
      <c r="H4205" t="s">
        <v>16</v>
      </c>
      <c r="I4205" t="s">
        <v>459</v>
      </c>
      <c r="J4205" t="s">
        <v>460</v>
      </c>
      <c r="K4205" t="s">
        <v>1809</v>
      </c>
      <c r="L4205" t="str">
        <f>HYPERLINK("https://business-monitor.ch/de/companies/1231853-prushi-geruestebau-gmbh?utm_source=oberaargau","PROFIL ANSEHEN")</f>
        <v>PROFIL ANSEHEN</v>
      </c>
    </row>
    <row r="4206" spans="1:12" x14ac:dyDescent="0.2">
      <c r="A4206" t="s">
        <v>10295</v>
      </c>
      <c r="B4206" t="s">
        <v>2999</v>
      </c>
      <c r="C4206" t="s">
        <v>2178</v>
      </c>
      <c r="E4206" t="s">
        <v>10296</v>
      </c>
      <c r="F4206">
        <v>4950</v>
      </c>
      <c r="G4206" t="s">
        <v>15</v>
      </c>
      <c r="H4206" t="s">
        <v>16</v>
      </c>
      <c r="I4206" t="s">
        <v>551</v>
      </c>
      <c r="J4206" t="s">
        <v>552</v>
      </c>
      <c r="K4206" t="s">
        <v>1809</v>
      </c>
      <c r="L4206" t="str">
        <f>HYPERLINK("https://business-monitor.ch/de/companies/568320-china-management-culture-gmbh?utm_source=oberaargau","PROFIL ANSEHEN")</f>
        <v>PROFIL ANSEHEN</v>
      </c>
    </row>
    <row r="4207" spans="1:12" x14ac:dyDescent="0.2">
      <c r="A4207" t="s">
        <v>7304</v>
      </c>
      <c r="B4207" t="s">
        <v>7305</v>
      </c>
      <c r="C4207" t="s">
        <v>202</v>
      </c>
      <c r="E4207" t="s">
        <v>2639</v>
      </c>
      <c r="F4207">
        <v>4900</v>
      </c>
      <c r="G4207" t="s">
        <v>41</v>
      </c>
      <c r="H4207" t="s">
        <v>16</v>
      </c>
      <c r="I4207" t="s">
        <v>2549</v>
      </c>
      <c r="J4207" t="s">
        <v>2550</v>
      </c>
      <c r="K4207" t="s">
        <v>1809</v>
      </c>
      <c r="L4207" t="str">
        <f>HYPERLINK("https://business-monitor.ch/de/companies/1006180-langetau-taxi-gmbh?utm_source=oberaargau","PROFIL ANSEHEN")</f>
        <v>PROFIL ANSEHEN</v>
      </c>
    </row>
    <row r="4208" spans="1:12" x14ac:dyDescent="0.2">
      <c r="A4208" t="s">
        <v>5181</v>
      </c>
      <c r="B4208" t="s">
        <v>5182</v>
      </c>
      <c r="C4208" t="s">
        <v>1812</v>
      </c>
      <c r="E4208" t="s">
        <v>5183</v>
      </c>
      <c r="F4208">
        <v>3380</v>
      </c>
      <c r="G4208" t="s">
        <v>29</v>
      </c>
      <c r="H4208" t="s">
        <v>16</v>
      </c>
      <c r="I4208" t="s">
        <v>2231</v>
      </c>
      <c r="J4208" t="s">
        <v>2232</v>
      </c>
      <c r="K4208" t="s">
        <v>1809</v>
      </c>
      <c r="L4208" t="str">
        <f>HYPERLINK("https://business-monitor.ch/de/companies/298361-ischi-malergeschaeft?utm_source=oberaargau","PROFIL ANSEHEN")</f>
        <v>PROFIL ANSEHEN</v>
      </c>
    </row>
    <row r="4209" spans="1:12" x14ac:dyDescent="0.2">
      <c r="A4209" t="s">
        <v>10522</v>
      </c>
      <c r="B4209" t="s">
        <v>10523</v>
      </c>
      <c r="C4209" t="s">
        <v>13</v>
      </c>
      <c r="E4209" t="s">
        <v>10524</v>
      </c>
      <c r="F4209">
        <v>4900</v>
      </c>
      <c r="G4209" t="s">
        <v>41</v>
      </c>
      <c r="H4209" t="s">
        <v>16</v>
      </c>
      <c r="I4209" t="s">
        <v>6334</v>
      </c>
      <c r="J4209" t="s">
        <v>6335</v>
      </c>
      <c r="K4209" t="s">
        <v>1809</v>
      </c>
      <c r="L4209" t="str">
        <f>HYPERLINK("https://business-monitor.ch/de/companies/725258-schoio-ag?utm_source=oberaargau","PROFIL ANSEHEN")</f>
        <v>PROFIL ANSEHEN</v>
      </c>
    </row>
    <row r="4210" spans="1:12" x14ac:dyDescent="0.2">
      <c r="A4210" t="s">
        <v>9690</v>
      </c>
      <c r="B4210" t="s">
        <v>9691</v>
      </c>
      <c r="C4210" t="s">
        <v>202</v>
      </c>
      <c r="E4210" t="s">
        <v>9692</v>
      </c>
      <c r="F4210">
        <v>4923</v>
      </c>
      <c r="G4210" t="s">
        <v>732</v>
      </c>
      <c r="H4210" t="s">
        <v>16</v>
      </c>
      <c r="I4210" t="s">
        <v>4247</v>
      </c>
      <c r="J4210" t="s">
        <v>4248</v>
      </c>
      <c r="K4210" t="s">
        <v>1809</v>
      </c>
      <c r="L4210" t="str">
        <f>HYPERLINK("https://business-monitor.ch/de/companies/629235-aneva-gmbh?utm_source=oberaargau","PROFIL ANSEHEN")</f>
        <v>PROFIL ANSEHEN</v>
      </c>
    </row>
    <row r="4211" spans="1:12" x14ac:dyDescent="0.2">
      <c r="A4211" t="s">
        <v>10389</v>
      </c>
      <c r="B4211" t="s">
        <v>10390</v>
      </c>
      <c r="C4211" t="s">
        <v>202</v>
      </c>
      <c r="E4211" t="s">
        <v>6036</v>
      </c>
      <c r="F4211">
        <v>4900</v>
      </c>
      <c r="G4211" t="s">
        <v>41</v>
      </c>
      <c r="H4211" t="s">
        <v>16</v>
      </c>
      <c r="I4211" t="s">
        <v>475</v>
      </c>
      <c r="J4211" t="s">
        <v>476</v>
      </c>
      <c r="K4211" t="s">
        <v>1809</v>
      </c>
      <c r="L4211" t="str">
        <f>HYPERLINK("https://business-monitor.ch/de/companies/356646-airside-gmbh?utm_source=oberaargau","PROFIL ANSEHEN")</f>
        <v>PROFIL ANSEHEN</v>
      </c>
    </row>
    <row r="4212" spans="1:12" x14ac:dyDescent="0.2">
      <c r="A4212" t="s">
        <v>14333</v>
      </c>
      <c r="B4212" t="s">
        <v>12166</v>
      </c>
      <c r="C4212" t="s">
        <v>1812</v>
      </c>
      <c r="E4212" t="s">
        <v>13957</v>
      </c>
      <c r="F4212">
        <v>4914</v>
      </c>
      <c r="G4212" t="s">
        <v>105</v>
      </c>
      <c r="H4212" t="s">
        <v>16</v>
      </c>
      <c r="I4212" t="s">
        <v>1535</v>
      </c>
      <c r="J4212" t="s">
        <v>1536</v>
      </c>
      <c r="K4212" t="s">
        <v>1809</v>
      </c>
      <c r="L4212" t="str">
        <f>HYPERLINK("https://business-monitor.ch/de/companies/1286611-osmanaj-gartenbau-und-landschaftspflege?utm_source=oberaargau","PROFIL ANSEHEN")</f>
        <v>PROFIL ANSEHEN</v>
      </c>
    </row>
    <row r="4213" spans="1:12" x14ac:dyDescent="0.2">
      <c r="A4213" t="s">
        <v>7329</v>
      </c>
      <c r="B4213" t="s">
        <v>7330</v>
      </c>
      <c r="C4213" t="s">
        <v>1812</v>
      </c>
      <c r="E4213" t="s">
        <v>7331</v>
      </c>
      <c r="F4213">
        <v>3360</v>
      </c>
      <c r="G4213" t="s">
        <v>35</v>
      </c>
      <c r="H4213" t="s">
        <v>16</v>
      </c>
      <c r="I4213" t="s">
        <v>551</v>
      </c>
      <c r="J4213" t="s">
        <v>552</v>
      </c>
      <c r="K4213" t="s">
        <v>1809</v>
      </c>
      <c r="L4213" t="str">
        <f>HYPERLINK("https://business-monitor.ch/de/companies/991411-kuepfer-consulting?utm_source=oberaargau","PROFIL ANSEHEN")</f>
        <v>PROFIL ANSEHEN</v>
      </c>
    </row>
    <row r="4214" spans="1:12" x14ac:dyDescent="0.2">
      <c r="A4214" t="s">
        <v>11682</v>
      </c>
      <c r="B4214" t="s">
        <v>11683</v>
      </c>
      <c r="C4214" t="s">
        <v>13</v>
      </c>
      <c r="E4214" t="s">
        <v>3598</v>
      </c>
      <c r="F4214">
        <v>4912</v>
      </c>
      <c r="G4214" t="s">
        <v>64</v>
      </c>
      <c r="H4214" t="s">
        <v>16</v>
      </c>
      <c r="I4214" t="s">
        <v>186</v>
      </c>
      <c r="J4214" t="s">
        <v>187</v>
      </c>
      <c r="K4214" t="s">
        <v>1809</v>
      </c>
      <c r="L4214" t="str">
        <f>HYPERLINK("https://business-monitor.ch/de/companies/1161694-wt-christen-ag?utm_source=oberaargau","PROFIL ANSEHEN")</f>
        <v>PROFIL ANSEHEN</v>
      </c>
    </row>
    <row r="4215" spans="1:12" x14ac:dyDescent="0.2">
      <c r="A4215" t="s">
        <v>8674</v>
      </c>
      <c r="B4215" t="s">
        <v>8675</v>
      </c>
      <c r="C4215" t="s">
        <v>202</v>
      </c>
      <c r="E4215" t="s">
        <v>8676</v>
      </c>
      <c r="F4215">
        <v>4950</v>
      </c>
      <c r="G4215" t="s">
        <v>15</v>
      </c>
      <c r="H4215" t="s">
        <v>16</v>
      </c>
      <c r="I4215" t="s">
        <v>1841</v>
      </c>
      <c r="J4215" t="s">
        <v>1842</v>
      </c>
      <c r="K4215" t="s">
        <v>1809</v>
      </c>
      <c r="L4215" t="str">
        <f>HYPERLINK("https://business-monitor.ch/de/companies/417618-gesundheit-am-brunnenplatz-gmbh?utm_source=oberaargau","PROFIL ANSEHEN")</f>
        <v>PROFIL ANSEHEN</v>
      </c>
    </row>
    <row r="4216" spans="1:12" x14ac:dyDescent="0.2">
      <c r="A4216" t="s">
        <v>12001</v>
      </c>
      <c r="B4216" t="s">
        <v>12002</v>
      </c>
      <c r="C4216" t="s">
        <v>1812</v>
      </c>
      <c r="E4216" t="s">
        <v>12003</v>
      </c>
      <c r="F4216">
        <v>4704</v>
      </c>
      <c r="G4216" t="s">
        <v>221</v>
      </c>
      <c r="H4216" t="s">
        <v>16</v>
      </c>
      <c r="I4216" t="s">
        <v>1210</v>
      </c>
      <c r="J4216" t="s">
        <v>1211</v>
      </c>
      <c r="K4216" t="s">
        <v>1809</v>
      </c>
      <c r="L4216" t="str">
        <f>HYPERLINK("https://business-monitor.ch/de/companies/1166312-stickatelier-probst?utm_source=oberaargau","PROFIL ANSEHEN")</f>
        <v>PROFIL ANSEHEN</v>
      </c>
    </row>
    <row r="4217" spans="1:12" x14ac:dyDescent="0.2">
      <c r="A4217" t="s">
        <v>11383</v>
      </c>
      <c r="B4217" t="s">
        <v>11384</v>
      </c>
      <c r="C4217" t="s">
        <v>202</v>
      </c>
      <c r="E4217" t="s">
        <v>11385</v>
      </c>
      <c r="F4217">
        <v>4954</v>
      </c>
      <c r="G4217" t="s">
        <v>359</v>
      </c>
      <c r="H4217" t="s">
        <v>16</v>
      </c>
      <c r="I4217" t="s">
        <v>1278</v>
      </c>
      <c r="J4217" t="s">
        <v>1279</v>
      </c>
      <c r="K4217" t="s">
        <v>1809</v>
      </c>
      <c r="L4217" t="str">
        <f>HYPERLINK("https://business-monitor.ch/de/companies/1131348-schlosserei-steffen-gmbh-wyssachen?utm_source=oberaargau","PROFIL ANSEHEN")</f>
        <v>PROFIL ANSEHEN</v>
      </c>
    </row>
    <row r="4218" spans="1:12" x14ac:dyDescent="0.2">
      <c r="A4218" t="s">
        <v>2694</v>
      </c>
      <c r="B4218" t="s">
        <v>2695</v>
      </c>
      <c r="C4218" t="s">
        <v>1812</v>
      </c>
      <c r="E4218" t="s">
        <v>2696</v>
      </c>
      <c r="F4218">
        <v>3373</v>
      </c>
      <c r="G4218" t="s">
        <v>2697</v>
      </c>
      <c r="H4218" t="s">
        <v>16</v>
      </c>
      <c r="I4218" t="s">
        <v>1689</v>
      </c>
      <c r="J4218" t="s">
        <v>1690</v>
      </c>
      <c r="K4218" t="s">
        <v>1809</v>
      </c>
      <c r="L4218" t="str">
        <f>HYPERLINK("https://business-monitor.ch/de/companies/469910-studer-hst-recycling-autohandel?utm_source=oberaargau","PROFIL ANSEHEN")</f>
        <v>PROFIL ANSEHEN</v>
      </c>
    </row>
    <row r="4219" spans="1:12" x14ac:dyDescent="0.2">
      <c r="A4219" t="s">
        <v>13398</v>
      </c>
      <c r="B4219" t="s">
        <v>13399</v>
      </c>
      <c r="C4219" t="s">
        <v>202</v>
      </c>
      <c r="E4219" t="s">
        <v>10237</v>
      </c>
      <c r="F4219">
        <v>4900</v>
      </c>
      <c r="G4219" t="s">
        <v>41</v>
      </c>
      <c r="H4219" t="s">
        <v>16</v>
      </c>
      <c r="I4219" t="s">
        <v>1053</v>
      </c>
      <c r="J4219" t="s">
        <v>1054</v>
      </c>
      <c r="K4219" t="s">
        <v>1809</v>
      </c>
      <c r="L4219" t="str">
        <f>HYPERLINK("https://business-monitor.ch/de/companies/472871-ks-architektur-baumanagement-gmbh?utm_source=oberaargau","PROFIL ANSEHEN")</f>
        <v>PROFIL ANSEHEN</v>
      </c>
    </row>
    <row r="4220" spans="1:12" x14ac:dyDescent="0.2">
      <c r="A4220" t="s">
        <v>11113</v>
      </c>
      <c r="B4220" t="s">
        <v>11114</v>
      </c>
      <c r="C4220" t="s">
        <v>202</v>
      </c>
      <c r="E4220" t="s">
        <v>11115</v>
      </c>
      <c r="F4220">
        <v>3360</v>
      </c>
      <c r="G4220" t="s">
        <v>35</v>
      </c>
      <c r="H4220" t="s">
        <v>16</v>
      </c>
      <c r="I4220" t="s">
        <v>551</v>
      </c>
      <c r="J4220" t="s">
        <v>552</v>
      </c>
      <c r="K4220" t="s">
        <v>1809</v>
      </c>
      <c r="L4220" t="str">
        <f>HYPERLINK("https://business-monitor.ch/de/companies/1112310-creation-coaching-mentoring-gmbh?utm_source=oberaargau","PROFIL ANSEHEN")</f>
        <v>PROFIL ANSEHEN</v>
      </c>
    </row>
    <row r="4221" spans="1:12" x14ac:dyDescent="0.2">
      <c r="A4221" t="s">
        <v>11799</v>
      </c>
      <c r="B4221" t="s">
        <v>11800</v>
      </c>
      <c r="C4221" t="s">
        <v>1812</v>
      </c>
      <c r="E4221" t="s">
        <v>3829</v>
      </c>
      <c r="F4221">
        <v>3360</v>
      </c>
      <c r="G4221" t="s">
        <v>35</v>
      </c>
      <c r="H4221" t="s">
        <v>16</v>
      </c>
      <c r="I4221" t="s">
        <v>1453</v>
      </c>
      <c r="J4221" t="s">
        <v>1454</v>
      </c>
      <c r="K4221" t="s">
        <v>1809</v>
      </c>
      <c r="L4221" t="str">
        <f>HYPERLINK("https://business-monitor.ch/de/companies/1155672-saarade-ademi?utm_source=oberaargau","PROFIL ANSEHEN")</f>
        <v>PROFIL ANSEHEN</v>
      </c>
    </row>
    <row r="4222" spans="1:12" x14ac:dyDescent="0.2">
      <c r="A4222" t="s">
        <v>6557</v>
      </c>
      <c r="B4222" t="s">
        <v>6558</v>
      </c>
      <c r="C4222" t="s">
        <v>1812</v>
      </c>
      <c r="E4222" t="s">
        <v>6559</v>
      </c>
      <c r="F4222">
        <v>4900</v>
      </c>
      <c r="G4222" t="s">
        <v>41</v>
      </c>
      <c r="H4222" t="s">
        <v>16</v>
      </c>
      <c r="I4222" t="s">
        <v>2231</v>
      </c>
      <c r="J4222" t="s">
        <v>2232</v>
      </c>
      <c r="K4222" t="s">
        <v>1809</v>
      </c>
      <c r="L4222" t="str">
        <f>HYPERLINK("https://business-monitor.ch/de/companies/227376-erich-hasler?utm_source=oberaargau","PROFIL ANSEHEN")</f>
        <v>PROFIL ANSEHEN</v>
      </c>
    </row>
    <row r="4223" spans="1:12" x14ac:dyDescent="0.2">
      <c r="A4223" t="s">
        <v>13914</v>
      </c>
      <c r="B4223" t="s">
        <v>13915</v>
      </c>
      <c r="C4223" t="s">
        <v>1827</v>
      </c>
      <c r="D4223" t="s">
        <v>13916</v>
      </c>
      <c r="E4223" t="s">
        <v>13917</v>
      </c>
      <c r="F4223">
        <v>4922</v>
      </c>
      <c r="G4223" t="s">
        <v>1318</v>
      </c>
      <c r="H4223" t="s">
        <v>16</v>
      </c>
      <c r="I4223" t="s">
        <v>824</v>
      </c>
      <c r="J4223" t="s">
        <v>825</v>
      </c>
      <c r="K4223" t="s">
        <v>1809</v>
      </c>
      <c r="L4223" t="str">
        <f>HYPERLINK("https://business-monitor.ch/de/companies/1129485-landhaus-ochsen-klg?utm_source=oberaargau","PROFIL ANSEHEN")</f>
        <v>PROFIL ANSEHEN</v>
      </c>
    </row>
    <row r="4224" spans="1:12" x14ac:dyDescent="0.2">
      <c r="A4224" t="s">
        <v>5790</v>
      </c>
      <c r="B4224" t="s">
        <v>5791</v>
      </c>
      <c r="C4224" t="s">
        <v>202</v>
      </c>
      <c r="E4224" t="s">
        <v>5792</v>
      </c>
      <c r="F4224">
        <v>4933</v>
      </c>
      <c r="G4224" t="s">
        <v>3812</v>
      </c>
      <c r="H4224" t="s">
        <v>16</v>
      </c>
      <c r="I4224" t="s">
        <v>4940</v>
      </c>
      <c r="J4224" t="s">
        <v>4941</v>
      </c>
      <c r="K4224" t="s">
        <v>1809</v>
      </c>
      <c r="L4224" t="str">
        <f>HYPERLINK("https://business-monitor.ch/de/companies/410893-lindenacker-gmbh?utm_source=oberaargau","PROFIL ANSEHEN")</f>
        <v>PROFIL ANSEHEN</v>
      </c>
    </row>
    <row r="4225" spans="1:12" x14ac:dyDescent="0.2">
      <c r="A4225" t="s">
        <v>9673</v>
      </c>
      <c r="B4225" t="s">
        <v>9674</v>
      </c>
      <c r="C4225" t="s">
        <v>202</v>
      </c>
      <c r="D4225" t="s">
        <v>9675</v>
      </c>
      <c r="E4225" t="s">
        <v>9444</v>
      </c>
      <c r="F4225">
        <v>4900</v>
      </c>
      <c r="G4225" t="s">
        <v>41</v>
      </c>
      <c r="H4225" t="s">
        <v>16</v>
      </c>
      <c r="I4225" t="s">
        <v>935</v>
      </c>
      <c r="J4225" t="s">
        <v>936</v>
      </c>
      <c r="K4225" t="s">
        <v>1809</v>
      </c>
      <c r="L4225" t="str">
        <f>HYPERLINK("https://business-monitor.ch/de/companies/964952-jegen-widmer-immobilien-gmbh?utm_source=oberaargau","PROFIL ANSEHEN")</f>
        <v>PROFIL ANSEHEN</v>
      </c>
    </row>
    <row r="4226" spans="1:12" x14ac:dyDescent="0.2">
      <c r="A4226" t="s">
        <v>2798</v>
      </c>
      <c r="B4226" t="s">
        <v>2799</v>
      </c>
      <c r="C4226" t="s">
        <v>202</v>
      </c>
      <c r="E4226" t="s">
        <v>13009</v>
      </c>
      <c r="F4226">
        <v>4950</v>
      </c>
      <c r="G4226" t="s">
        <v>15</v>
      </c>
      <c r="H4226" t="s">
        <v>16</v>
      </c>
      <c r="I4226" t="s">
        <v>2800</v>
      </c>
      <c r="J4226" t="s">
        <v>2801</v>
      </c>
      <c r="K4226" t="s">
        <v>1809</v>
      </c>
      <c r="L4226" t="str">
        <f>HYPERLINK("https://business-monitor.ch/de/companies/434514-truckerland-gmbh?utm_source=oberaargau","PROFIL ANSEHEN")</f>
        <v>PROFIL ANSEHEN</v>
      </c>
    </row>
    <row r="4227" spans="1:12" x14ac:dyDescent="0.2">
      <c r="A4227" t="s">
        <v>10393</v>
      </c>
      <c r="B4227" t="s">
        <v>10394</v>
      </c>
      <c r="C4227" t="s">
        <v>202</v>
      </c>
      <c r="E4227" t="s">
        <v>1115</v>
      </c>
      <c r="F4227">
        <v>4950</v>
      </c>
      <c r="G4227" t="s">
        <v>15</v>
      </c>
      <c r="H4227" t="s">
        <v>16</v>
      </c>
      <c r="I4227" t="s">
        <v>157</v>
      </c>
      <c r="J4227" t="s">
        <v>158</v>
      </c>
      <c r="K4227" t="s">
        <v>1809</v>
      </c>
      <c r="L4227" t="str">
        <f>HYPERLINK("https://business-monitor.ch/de/companies/108835-fankhauser-thomi-immobilien-gmbh?utm_source=oberaargau","PROFIL ANSEHEN")</f>
        <v>PROFIL ANSEHEN</v>
      </c>
    </row>
    <row r="4228" spans="1:12" x14ac:dyDescent="0.2">
      <c r="A4228" t="s">
        <v>13578</v>
      </c>
      <c r="B4228" t="s">
        <v>13579</v>
      </c>
      <c r="C4228" t="s">
        <v>202</v>
      </c>
      <c r="E4228" t="s">
        <v>12106</v>
      </c>
      <c r="F4228">
        <v>4900</v>
      </c>
      <c r="G4228" t="s">
        <v>41</v>
      </c>
      <c r="H4228" t="s">
        <v>16</v>
      </c>
      <c r="I4228" t="s">
        <v>5080</v>
      </c>
      <c r="J4228" t="s">
        <v>5081</v>
      </c>
      <c r="K4228" t="s">
        <v>1809</v>
      </c>
      <c r="L4228" t="str">
        <f>HYPERLINK("https://business-monitor.ch/de/companies/1262604-natur-spielatelier-langenthal-gmbh?utm_source=oberaargau","PROFIL ANSEHEN")</f>
        <v>PROFIL ANSEHEN</v>
      </c>
    </row>
    <row r="4229" spans="1:12" x14ac:dyDescent="0.2">
      <c r="A4229" t="s">
        <v>6639</v>
      </c>
      <c r="B4229" t="s">
        <v>6640</v>
      </c>
      <c r="C4229" t="s">
        <v>13</v>
      </c>
      <c r="E4229" t="s">
        <v>1547</v>
      </c>
      <c r="F4229">
        <v>4900</v>
      </c>
      <c r="G4229" t="s">
        <v>41</v>
      </c>
      <c r="H4229" t="s">
        <v>16</v>
      </c>
      <c r="I4229" t="s">
        <v>624</v>
      </c>
      <c r="J4229" t="s">
        <v>625</v>
      </c>
      <c r="K4229" t="s">
        <v>1809</v>
      </c>
      <c r="L4229" t="str">
        <f>HYPERLINK("https://business-monitor.ch/de/companies/185041-kernholz-ag?utm_source=oberaargau","PROFIL ANSEHEN")</f>
        <v>PROFIL ANSEHEN</v>
      </c>
    </row>
    <row r="4230" spans="1:12" x14ac:dyDescent="0.2">
      <c r="A4230" t="s">
        <v>13113</v>
      </c>
      <c r="B4230" t="s">
        <v>13114</v>
      </c>
      <c r="C4230" t="s">
        <v>2258</v>
      </c>
      <c r="D4230" t="s">
        <v>13115</v>
      </c>
      <c r="E4230" t="s">
        <v>13116</v>
      </c>
      <c r="F4230">
        <v>4923</v>
      </c>
      <c r="G4230" t="s">
        <v>732</v>
      </c>
      <c r="H4230" t="s">
        <v>16</v>
      </c>
      <c r="I4230" t="s">
        <v>433</v>
      </c>
      <c r="J4230" t="s">
        <v>434</v>
      </c>
      <c r="K4230" t="s">
        <v>1809</v>
      </c>
      <c r="L4230" t="str">
        <f>HYPERLINK("https://business-monitor.ch/de/companies/1236482-event-verein-wynau?utm_source=oberaargau","PROFIL ANSEHEN")</f>
        <v>PROFIL ANSEHEN</v>
      </c>
    </row>
    <row r="4231" spans="1:12" x14ac:dyDescent="0.2">
      <c r="A4231" t="s">
        <v>12641</v>
      </c>
      <c r="B4231" t="s">
        <v>12642</v>
      </c>
      <c r="C4231" t="s">
        <v>202</v>
      </c>
      <c r="E4231" t="s">
        <v>12643</v>
      </c>
      <c r="F4231">
        <v>3360</v>
      </c>
      <c r="G4231" t="s">
        <v>35</v>
      </c>
      <c r="H4231" t="s">
        <v>16</v>
      </c>
      <c r="I4231" t="s">
        <v>4534</v>
      </c>
      <c r="J4231" t="s">
        <v>4535</v>
      </c>
      <c r="K4231" t="s">
        <v>1809</v>
      </c>
      <c r="L4231" t="str">
        <f>HYPERLINK("https://business-monitor.ch/de/companies/1156443-herzensideen-gmbh?utm_source=oberaargau","PROFIL ANSEHEN")</f>
        <v>PROFIL ANSEHEN</v>
      </c>
    </row>
    <row r="4232" spans="1:12" x14ac:dyDescent="0.2">
      <c r="A4232" t="s">
        <v>5585</v>
      </c>
      <c r="B4232" t="s">
        <v>5586</v>
      </c>
      <c r="C4232" t="s">
        <v>1812</v>
      </c>
      <c r="E4232" t="s">
        <v>5587</v>
      </c>
      <c r="F4232">
        <v>3360</v>
      </c>
      <c r="G4232" t="s">
        <v>35</v>
      </c>
      <c r="H4232" t="s">
        <v>16</v>
      </c>
      <c r="I4232" t="s">
        <v>1841</v>
      </c>
      <c r="J4232" t="s">
        <v>1842</v>
      </c>
      <c r="K4232" t="s">
        <v>1809</v>
      </c>
      <c r="L4232" t="str">
        <f>HYPERLINK("https://business-monitor.ch/de/companies/443520-tony-luechinger?utm_source=oberaargau","PROFIL ANSEHEN")</f>
        <v>PROFIL ANSEHEN</v>
      </c>
    </row>
    <row r="4233" spans="1:12" x14ac:dyDescent="0.2">
      <c r="A4233" t="s">
        <v>9273</v>
      </c>
      <c r="B4233" t="s">
        <v>9274</v>
      </c>
      <c r="C4233" t="s">
        <v>1812</v>
      </c>
      <c r="E4233" t="s">
        <v>7480</v>
      </c>
      <c r="F4233">
        <v>4900</v>
      </c>
      <c r="G4233" t="s">
        <v>41</v>
      </c>
      <c r="H4233" t="s">
        <v>16</v>
      </c>
      <c r="I4233" t="s">
        <v>134</v>
      </c>
      <c r="J4233" t="s">
        <v>135</v>
      </c>
      <c r="K4233" t="s">
        <v>1809</v>
      </c>
      <c r="L4233" t="str">
        <f>HYPERLINK("https://business-monitor.ch/de/companies/109966-christian-suter?utm_source=oberaargau","PROFIL ANSEHEN")</f>
        <v>PROFIL ANSEHEN</v>
      </c>
    </row>
    <row r="4234" spans="1:12" x14ac:dyDescent="0.2">
      <c r="A4234" t="s">
        <v>13918</v>
      </c>
      <c r="B4234" t="s">
        <v>13919</v>
      </c>
      <c r="C4234" t="s">
        <v>202</v>
      </c>
      <c r="E4234" t="s">
        <v>13920</v>
      </c>
      <c r="F4234">
        <v>4900</v>
      </c>
      <c r="G4234" t="s">
        <v>41</v>
      </c>
      <c r="H4234" t="s">
        <v>16</v>
      </c>
      <c r="I4234" t="s">
        <v>1062</v>
      </c>
      <c r="J4234" t="s">
        <v>1063</v>
      </c>
      <c r="K4234" t="s">
        <v>1809</v>
      </c>
      <c r="L4234" t="str">
        <f>HYPERLINK("https://business-monitor.ch/de/companies/1272521-central-keramik-gmbh?utm_source=oberaargau","PROFIL ANSEHEN")</f>
        <v>PROFIL ANSEHEN</v>
      </c>
    </row>
    <row r="4235" spans="1:12" x14ac:dyDescent="0.2">
      <c r="A4235" t="s">
        <v>12085</v>
      </c>
      <c r="B4235" t="s">
        <v>12086</v>
      </c>
      <c r="C4235" t="s">
        <v>1812</v>
      </c>
      <c r="E4235" t="s">
        <v>12087</v>
      </c>
      <c r="F4235">
        <v>4914</v>
      </c>
      <c r="G4235" t="s">
        <v>105</v>
      </c>
      <c r="H4235" t="s">
        <v>16</v>
      </c>
      <c r="I4235" t="s">
        <v>24</v>
      </c>
      <c r="J4235" t="s">
        <v>25</v>
      </c>
      <c r="K4235" t="s">
        <v>1809</v>
      </c>
      <c r="L4235" t="str">
        <f>HYPERLINK("https://business-monitor.ch/de/companies/263555-pc-privat-support-mueller-andreas?utm_source=oberaargau","PROFIL ANSEHEN")</f>
        <v>PROFIL ANSEHEN</v>
      </c>
    </row>
    <row r="4236" spans="1:12" x14ac:dyDescent="0.2">
      <c r="A4236" t="s">
        <v>2458</v>
      </c>
      <c r="B4236" t="s">
        <v>2459</v>
      </c>
      <c r="C4236" t="s">
        <v>1812</v>
      </c>
      <c r="E4236" t="s">
        <v>2460</v>
      </c>
      <c r="F4236">
        <v>4900</v>
      </c>
      <c r="G4236" t="s">
        <v>41</v>
      </c>
      <c r="H4236" t="s">
        <v>16</v>
      </c>
      <c r="I4236" t="s">
        <v>2293</v>
      </c>
      <c r="J4236" t="s">
        <v>2294</v>
      </c>
      <c r="K4236" t="s">
        <v>1809</v>
      </c>
      <c r="L4236" t="str">
        <f>HYPERLINK("https://business-monitor.ch/de/companies/518088-riff-shop-inhaber-strametz?utm_source=oberaargau","PROFIL ANSEHEN")</f>
        <v>PROFIL ANSEHEN</v>
      </c>
    </row>
    <row r="4237" spans="1:12" x14ac:dyDescent="0.2">
      <c r="A4237" t="s">
        <v>11255</v>
      </c>
      <c r="B4237" t="s">
        <v>11256</v>
      </c>
      <c r="C4237" t="s">
        <v>202</v>
      </c>
      <c r="E4237" t="s">
        <v>8462</v>
      </c>
      <c r="F4237">
        <v>4912</v>
      </c>
      <c r="G4237" t="s">
        <v>64</v>
      </c>
      <c r="H4237" t="s">
        <v>16</v>
      </c>
      <c r="I4237" t="s">
        <v>464</v>
      </c>
      <c r="J4237" t="s">
        <v>465</v>
      </c>
      <c r="K4237" t="s">
        <v>1809</v>
      </c>
      <c r="L4237" t="str">
        <f>HYPERLINK("https://business-monitor.ch/de/companies/972485-bucher-wyss-gmbh?utm_source=oberaargau","PROFIL ANSEHEN")</f>
        <v>PROFIL ANSEHEN</v>
      </c>
    </row>
    <row r="4238" spans="1:12" x14ac:dyDescent="0.2">
      <c r="A4238" t="s">
        <v>13268</v>
      </c>
      <c r="B4238" t="s">
        <v>13269</v>
      </c>
      <c r="C4238" t="s">
        <v>1812</v>
      </c>
      <c r="E4238" t="s">
        <v>2693</v>
      </c>
      <c r="F4238">
        <v>4900</v>
      </c>
      <c r="G4238" t="s">
        <v>41</v>
      </c>
      <c r="H4238" t="s">
        <v>16</v>
      </c>
      <c r="I4238" t="s">
        <v>1818</v>
      </c>
      <c r="J4238" t="s">
        <v>1819</v>
      </c>
      <c r="K4238" t="s">
        <v>1809</v>
      </c>
      <c r="L4238" t="str">
        <f>HYPERLINK("https://business-monitor.ch/de/companies/1241137-axa-hauptagentur-philipp-kern?utm_source=oberaargau","PROFIL ANSEHEN")</f>
        <v>PROFIL ANSEHEN</v>
      </c>
    </row>
    <row r="4239" spans="1:12" x14ac:dyDescent="0.2">
      <c r="A4239" t="s">
        <v>4168</v>
      </c>
      <c r="B4239" t="s">
        <v>4169</v>
      </c>
      <c r="C4239" t="s">
        <v>1812</v>
      </c>
      <c r="E4239" t="s">
        <v>4170</v>
      </c>
      <c r="F4239">
        <v>4950</v>
      </c>
      <c r="G4239" t="s">
        <v>15</v>
      </c>
      <c r="H4239" t="s">
        <v>16</v>
      </c>
      <c r="I4239" t="s">
        <v>624</v>
      </c>
      <c r="J4239" t="s">
        <v>625</v>
      </c>
      <c r="K4239" t="s">
        <v>1809</v>
      </c>
      <c r="L4239" t="str">
        <f>HYPERLINK("https://business-monitor.ch/de/companies/1014131-bau-art-holz-inh-berger?utm_source=oberaargau","PROFIL ANSEHEN")</f>
        <v>PROFIL ANSEHEN</v>
      </c>
    </row>
    <row r="4240" spans="1:12" x14ac:dyDescent="0.2">
      <c r="A4240" t="s">
        <v>5588</v>
      </c>
      <c r="B4240" t="s">
        <v>5589</v>
      </c>
      <c r="C4240" t="s">
        <v>13</v>
      </c>
      <c r="E4240" t="s">
        <v>12878</v>
      </c>
      <c r="F4240">
        <v>4704</v>
      </c>
      <c r="G4240" t="s">
        <v>221</v>
      </c>
      <c r="H4240" t="s">
        <v>16</v>
      </c>
      <c r="I4240" t="s">
        <v>1470</v>
      </c>
      <c r="J4240" t="s">
        <v>1471</v>
      </c>
      <c r="K4240" t="s">
        <v>1809</v>
      </c>
      <c r="L4240" t="str">
        <f>HYPERLINK("https://business-monitor.ch/de/companies/473762-arn-heizung-sanitaer-ag?utm_source=oberaargau","PROFIL ANSEHEN")</f>
        <v>PROFIL ANSEHEN</v>
      </c>
    </row>
    <row r="4241" spans="1:12" x14ac:dyDescent="0.2">
      <c r="A4241" t="s">
        <v>13958</v>
      </c>
      <c r="B4241" t="s">
        <v>13959</v>
      </c>
      <c r="C4241" t="s">
        <v>202</v>
      </c>
      <c r="D4241" t="s">
        <v>13960</v>
      </c>
      <c r="E4241" t="s">
        <v>3634</v>
      </c>
      <c r="F4241">
        <v>4704</v>
      </c>
      <c r="G4241" t="s">
        <v>221</v>
      </c>
      <c r="H4241" t="s">
        <v>16</v>
      </c>
      <c r="I4241" t="s">
        <v>186</v>
      </c>
      <c r="J4241" t="s">
        <v>187</v>
      </c>
      <c r="K4241" t="s">
        <v>1809</v>
      </c>
      <c r="L4241" t="str">
        <f>HYPERLINK("https://business-monitor.ch/de/companies/1282226-chriton-gmbh?utm_source=oberaargau","PROFIL ANSEHEN")</f>
        <v>PROFIL ANSEHEN</v>
      </c>
    </row>
    <row r="4242" spans="1:12" x14ac:dyDescent="0.2">
      <c r="A4242" t="s">
        <v>8451</v>
      </c>
      <c r="B4242" t="s">
        <v>8452</v>
      </c>
      <c r="C4242" t="s">
        <v>84</v>
      </c>
      <c r="D4242" t="s">
        <v>13566</v>
      </c>
      <c r="E4242" t="s">
        <v>13567</v>
      </c>
      <c r="F4242">
        <v>4914</v>
      </c>
      <c r="G4242" t="s">
        <v>105</v>
      </c>
      <c r="H4242" t="s">
        <v>16</v>
      </c>
      <c r="I4242" t="s">
        <v>5080</v>
      </c>
      <c r="J4242" t="s">
        <v>5081</v>
      </c>
      <c r="K4242" t="s">
        <v>1809</v>
      </c>
      <c r="L4242" t="str">
        <f>HYPERLINK("https://business-monitor.ch/de/companies/257432-genossenschaft-kindertagesstaette-roggwil-kitaro?utm_source=oberaargau","PROFIL ANSEHEN")</f>
        <v>PROFIL ANSEHEN</v>
      </c>
    </row>
    <row r="4243" spans="1:12" x14ac:dyDescent="0.2">
      <c r="A4243" t="s">
        <v>3326</v>
      </c>
      <c r="B4243" t="s">
        <v>3327</v>
      </c>
      <c r="C4243" t="s">
        <v>202</v>
      </c>
      <c r="E4243" t="s">
        <v>1058</v>
      </c>
      <c r="F4243">
        <v>3360</v>
      </c>
      <c r="G4243" t="s">
        <v>35</v>
      </c>
      <c r="H4243" t="s">
        <v>16</v>
      </c>
      <c r="I4243" t="s">
        <v>139</v>
      </c>
      <c r="J4243" t="s">
        <v>140</v>
      </c>
      <c r="K4243" t="s">
        <v>1809</v>
      </c>
      <c r="L4243" t="str">
        <f>HYPERLINK("https://business-monitor.ch/de/companies/226602-wellatwork-ch-gmbh?utm_source=oberaargau","PROFIL ANSEHEN")</f>
        <v>PROFIL ANSEHEN</v>
      </c>
    </row>
    <row r="4244" spans="1:12" x14ac:dyDescent="0.2">
      <c r="A4244" t="s">
        <v>13549</v>
      </c>
      <c r="B4244" t="s">
        <v>13550</v>
      </c>
      <c r="C4244" t="s">
        <v>202</v>
      </c>
      <c r="E4244" t="s">
        <v>5933</v>
      </c>
      <c r="F4244">
        <v>4900</v>
      </c>
      <c r="G4244" t="s">
        <v>41</v>
      </c>
      <c r="H4244" t="s">
        <v>16</v>
      </c>
      <c r="I4244" t="s">
        <v>906</v>
      </c>
      <c r="J4244" t="s">
        <v>907</v>
      </c>
      <c r="K4244" t="s">
        <v>1809</v>
      </c>
      <c r="L4244" t="str">
        <f>HYPERLINK("https://business-monitor.ch/de/companies/1259070-casa-milla-apartments-gmbh?utm_source=oberaargau","PROFIL ANSEHEN")</f>
        <v>PROFIL ANSEHEN</v>
      </c>
    </row>
    <row r="4245" spans="1:12" x14ac:dyDescent="0.2">
      <c r="A4245" t="s">
        <v>7745</v>
      </c>
      <c r="B4245" t="s">
        <v>7746</v>
      </c>
      <c r="C4245" t="s">
        <v>202</v>
      </c>
      <c r="E4245" t="s">
        <v>7747</v>
      </c>
      <c r="F4245">
        <v>4913</v>
      </c>
      <c r="G4245" t="s">
        <v>207</v>
      </c>
      <c r="H4245" t="s">
        <v>16</v>
      </c>
      <c r="I4245" t="s">
        <v>464</v>
      </c>
      <c r="J4245" t="s">
        <v>465</v>
      </c>
      <c r="K4245" t="s">
        <v>1809</v>
      </c>
      <c r="L4245" t="str">
        <f>HYPERLINK("https://business-monitor.ch/de/companies/587668-ryf-hirschi-transporte-gmbh?utm_source=oberaargau","PROFIL ANSEHEN")</f>
        <v>PROFIL ANSEHEN</v>
      </c>
    </row>
    <row r="4246" spans="1:12" x14ac:dyDescent="0.2">
      <c r="A4246" t="s">
        <v>11614</v>
      </c>
      <c r="B4246" t="s">
        <v>11615</v>
      </c>
      <c r="C4246" t="s">
        <v>13</v>
      </c>
      <c r="E4246" t="s">
        <v>11528</v>
      </c>
      <c r="F4246">
        <v>4537</v>
      </c>
      <c r="G4246" t="s">
        <v>113</v>
      </c>
      <c r="H4246" t="s">
        <v>16</v>
      </c>
      <c r="I4246" t="s">
        <v>2640</v>
      </c>
      <c r="J4246" t="s">
        <v>2641</v>
      </c>
      <c r="K4246" t="s">
        <v>1809</v>
      </c>
      <c r="L4246" t="str">
        <f>HYPERLINK("https://business-monitor.ch/de/companies/939330-nk-workwear-ag?utm_source=oberaargau","PROFIL ANSEHEN")</f>
        <v>PROFIL ANSEHEN</v>
      </c>
    </row>
    <row r="4247" spans="1:12" x14ac:dyDescent="0.2">
      <c r="A4247" t="s">
        <v>8867</v>
      </c>
      <c r="B4247" t="s">
        <v>8868</v>
      </c>
      <c r="C4247" t="s">
        <v>1812</v>
      </c>
      <c r="E4247" t="s">
        <v>3257</v>
      </c>
      <c r="F4247">
        <v>4900</v>
      </c>
      <c r="G4247" t="s">
        <v>41</v>
      </c>
      <c r="H4247" t="s">
        <v>16</v>
      </c>
      <c r="I4247" t="s">
        <v>2825</v>
      </c>
      <c r="J4247" t="s">
        <v>2826</v>
      </c>
      <c r="K4247" t="s">
        <v>1809</v>
      </c>
      <c r="L4247" t="str">
        <f>HYPERLINK("https://business-monitor.ch/de/companies/313916-sehruum11-gestaltungsatelier-philipp-abt?utm_source=oberaargau","PROFIL ANSEHEN")</f>
        <v>PROFIL ANSEHEN</v>
      </c>
    </row>
    <row r="4248" spans="1:12" x14ac:dyDescent="0.2">
      <c r="A4248" t="s">
        <v>5115</v>
      </c>
      <c r="B4248" t="s">
        <v>5116</v>
      </c>
      <c r="C4248" t="s">
        <v>202</v>
      </c>
      <c r="D4248" t="s">
        <v>5117</v>
      </c>
      <c r="E4248" t="s">
        <v>5118</v>
      </c>
      <c r="F4248">
        <v>4917</v>
      </c>
      <c r="G4248" t="s">
        <v>376</v>
      </c>
      <c r="H4248" t="s">
        <v>16</v>
      </c>
      <c r="I4248" t="s">
        <v>551</v>
      </c>
      <c r="J4248" t="s">
        <v>552</v>
      </c>
      <c r="K4248" t="s">
        <v>1809</v>
      </c>
      <c r="L4248" t="str">
        <f>HYPERLINK("https://business-monitor.ch/de/companies/385368-bildungsmanagement-heidi-abt-gmbh?utm_source=oberaargau","PROFIL ANSEHEN")</f>
        <v>PROFIL ANSEHEN</v>
      </c>
    </row>
    <row r="4249" spans="1:12" x14ac:dyDescent="0.2">
      <c r="A4249" t="s">
        <v>12580</v>
      </c>
      <c r="B4249" t="s">
        <v>12581</v>
      </c>
      <c r="C4249" t="s">
        <v>202</v>
      </c>
      <c r="E4249" t="s">
        <v>3282</v>
      </c>
      <c r="F4249">
        <v>4912</v>
      </c>
      <c r="G4249" t="s">
        <v>64</v>
      </c>
      <c r="H4249" t="s">
        <v>16</v>
      </c>
      <c r="I4249" t="s">
        <v>232</v>
      </c>
      <c r="J4249" t="s">
        <v>233</v>
      </c>
      <c r="K4249" t="s">
        <v>1809</v>
      </c>
      <c r="L4249" t="str">
        <f>HYPERLINK("https://business-monitor.ch/de/companies/21821-erta-gastro-gmbh?utm_source=oberaargau","PROFIL ANSEHEN")</f>
        <v>PROFIL ANSEHEN</v>
      </c>
    </row>
    <row r="4250" spans="1:12" x14ac:dyDescent="0.2">
      <c r="A4250" t="s">
        <v>3889</v>
      </c>
      <c r="B4250" t="s">
        <v>3890</v>
      </c>
      <c r="C4250" t="s">
        <v>13</v>
      </c>
      <c r="E4250" t="s">
        <v>3891</v>
      </c>
      <c r="F4250">
        <v>4913</v>
      </c>
      <c r="G4250" t="s">
        <v>207</v>
      </c>
      <c r="H4250" t="s">
        <v>16</v>
      </c>
      <c r="I4250" t="s">
        <v>824</v>
      </c>
      <c r="J4250" t="s">
        <v>825</v>
      </c>
      <c r="K4250" t="s">
        <v>1809</v>
      </c>
      <c r="L4250" t="str">
        <f>HYPERLINK("https://business-monitor.ch/de/companies/930955-fsh-concept-ag?utm_source=oberaargau","PROFIL ANSEHEN")</f>
        <v>PROFIL ANSEHEN</v>
      </c>
    </row>
    <row r="4251" spans="1:12" x14ac:dyDescent="0.2">
      <c r="A4251" t="s">
        <v>3906</v>
      </c>
      <c r="B4251" t="s">
        <v>3907</v>
      </c>
      <c r="C4251" t="s">
        <v>1812</v>
      </c>
      <c r="E4251" t="s">
        <v>10802</v>
      </c>
      <c r="F4251">
        <v>4950</v>
      </c>
      <c r="G4251" t="s">
        <v>15</v>
      </c>
      <c r="H4251" t="s">
        <v>16</v>
      </c>
      <c r="I4251" t="s">
        <v>997</v>
      </c>
      <c r="J4251" t="s">
        <v>998</v>
      </c>
      <c r="K4251" t="s">
        <v>1809</v>
      </c>
      <c r="L4251" t="str">
        <f>HYPERLINK("https://business-monitor.ch/de/companies/976550-retro-scooters-russo?utm_source=oberaargau","PROFIL ANSEHEN")</f>
        <v>PROFIL ANSEHEN</v>
      </c>
    </row>
    <row r="4252" spans="1:12" x14ac:dyDescent="0.2">
      <c r="A4252" t="s">
        <v>14653</v>
      </c>
      <c r="B4252" t="s">
        <v>14654</v>
      </c>
      <c r="C4252" t="s">
        <v>1812</v>
      </c>
      <c r="E4252" t="s">
        <v>14655</v>
      </c>
      <c r="F4252">
        <v>4537</v>
      </c>
      <c r="G4252" t="s">
        <v>113</v>
      </c>
      <c r="H4252" t="s">
        <v>16</v>
      </c>
      <c r="I4252" t="s">
        <v>570</v>
      </c>
      <c r="J4252" t="s">
        <v>571</v>
      </c>
      <c r="K4252" t="s">
        <v>1809</v>
      </c>
      <c r="L4252" t="str">
        <f>HYPERLINK("https://business-monitor.ch/de/companies/1296703-baerestarch-lueftungsservice-sarcevic?utm_source=oberaargau","PROFIL ANSEHEN")</f>
        <v>PROFIL ANSEHEN</v>
      </c>
    </row>
    <row r="4253" spans="1:12" x14ac:dyDescent="0.2">
      <c r="A4253" t="s">
        <v>1988</v>
      </c>
      <c r="B4253" t="s">
        <v>3751</v>
      </c>
      <c r="C4253" t="s">
        <v>202</v>
      </c>
      <c r="E4253" t="s">
        <v>3752</v>
      </c>
      <c r="F4253">
        <v>4950</v>
      </c>
      <c r="G4253" t="s">
        <v>15</v>
      </c>
      <c r="H4253" t="s">
        <v>16</v>
      </c>
      <c r="I4253" t="s">
        <v>232</v>
      </c>
      <c r="J4253" t="s">
        <v>233</v>
      </c>
      <c r="K4253" t="s">
        <v>1809</v>
      </c>
      <c r="L4253" t="str">
        <f>HYPERLINK("https://business-monitor.ch/de/companies/221510-treuhand-und-steuerberatung-mueller-gmbh?utm_source=oberaargau","PROFIL ANSEHEN")</f>
        <v>PROFIL ANSEHEN</v>
      </c>
    </row>
    <row r="4254" spans="1:12" x14ac:dyDescent="0.2">
      <c r="A4254" t="s">
        <v>7936</v>
      </c>
      <c r="B4254" t="s">
        <v>7937</v>
      </c>
      <c r="C4254" t="s">
        <v>1812</v>
      </c>
      <c r="E4254" t="s">
        <v>7938</v>
      </c>
      <c r="F4254">
        <v>3367</v>
      </c>
      <c r="G4254" t="s">
        <v>455</v>
      </c>
      <c r="H4254" t="s">
        <v>16</v>
      </c>
      <c r="I4254" t="s">
        <v>1598</v>
      </c>
      <c r="J4254" t="s">
        <v>1599</v>
      </c>
      <c r="K4254" t="s">
        <v>1809</v>
      </c>
      <c r="L4254" t="str">
        <f>HYPERLINK("https://business-monitor.ch/de/companies/420503-metzgerei-soltermann?utm_source=oberaargau","PROFIL ANSEHEN")</f>
        <v>PROFIL ANSEHEN</v>
      </c>
    </row>
    <row r="4255" spans="1:12" x14ac:dyDescent="0.2">
      <c r="A4255" t="s">
        <v>4631</v>
      </c>
      <c r="B4255" t="s">
        <v>12179</v>
      </c>
      <c r="C4255" t="s">
        <v>202</v>
      </c>
      <c r="E4255" t="s">
        <v>12088</v>
      </c>
      <c r="F4255">
        <v>4936</v>
      </c>
      <c r="G4255" t="s">
        <v>768</v>
      </c>
      <c r="H4255" t="s">
        <v>16</v>
      </c>
      <c r="I4255" t="s">
        <v>551</v>
      </c>
      <c r="J4255" t="s">
        <v>552</v>
      </c>
      <c r="K4255" t="s">
        <v>1809</v>
      </c>
      <c r="L4255" t="str">
        <f>HYPERLINK("https://business-monitor.ch/de/companies/629406-3w-stratego-gmbh?utm_source=oberaargau","PROFIL ANSEHEN")</f>
        <v>PROFIL ANSEHEN</v>
      </c>
    </row>
    <row r="4256" spans="1:12" x14ac:dyDescent="0.2">
      <c r="A4256" t="s">
        <v>4706</v>
      </c>
      <c r="B4256" t="s">
        <v>4707</v>
      </c>
      <c r="C4256" t="s">
        <v>202</v>
      </c>
      <c r="E4256" t="s">
        <v>4708</v>
      </c>
      <c r="F4256">
        <v>3380</v>
      </c>
      <c r="G4256" t="s">
        <v>29</v>
      </c>
      <c r="H4256" t="s">
        <v>16</v>
      </c>
      <c r="I4256" t="s">
        <v>642</v>
      </c>
      <c r="J4256" t="s">
        <v>643</v>
      </c>
      <c r="K4256" t="s">
        <v>1809</v>
      </c>
      <c r="L4256" t="str">
        <f>HYPERLINK("https://business-monitor.ch/de/companies/594122-rikli-sport-garage-gmbh?utm_source=oberaargau","PROFIL ANSEHEN")</f>
        <v>PROFIL ANSEHEN</v>
      </c>
    </row>
    <row r="4257" spans="1:12" x14ac:dyDescent="0.2">
      <c r="A4257" t="s">
        <v>8352</v>
      </c>
      <c r="B4257" t="s">
        <v>8353</v>
      </c>
      <c r="C4257" t="s">
        <v>1812</v>
      </c>
      <c r="E4257" t="s">
        <v>3210</v>
      </c>
      <c r="F4257">
        <v>4923</v>
      </c>
      <c r="G4257" t="s">
        <v>732</v>
      </c>
      <c r="H4257" t="s">
        <v>16</v>
      </c>
      <c r="I4257" t="s">
        <v>642</v>
      </c>
      <c r="J4257" t="s">
        <v>643</v>
      </c>
      <c r="K4257" t="s">
        <v>1809</v>
      </c>
      <c r="L4257" t="str">
        <f>HYPERLINK("https://business-monitor.ch/de/companies/207418-garage-autoelektro-urs-gloor?utm_source=oberaargau","PROFIL ANSEHEN")</f>
        <v>PROFIL ANSEHEN</v>
      </c>
    </row>
    <row r="4258" spans="1:12" x14ac:dyDescent="0.2">
      <c r="A4258" t="s">
        <v>8897</v>
      </c>
      <c r="B4258" t="s">
        <v>8898</v>
      </c>
      <c r="C4258" t="s">
        <v>202</v>
      </c>
      <c r="E4258" t="s">
        <v>2382</v>
      </c>
      <c r="F4258">
        <v>3367</v>
      </c>
      <c r="G4258" t="s">
        <v>455</v>
      </c>
      <c r="H4258" t="s">
        <v>16</v>
      </c>
      <c r="I4258" t="s">
        <v>3861</v>
      </c>
      <c r="J4258" t="s">
        <v>3862</v>
      </c>
      <c r="K4258" t="s">
        <v>1809</v>
      </c>
      <c r="L4258" t="str">
        <f>HYPERLINK("https://business-monitor.ch/de/companies/295225-infovita-gmbh?utm_source=oberaargau","PROFIL ANSEHEN")</f>
        <v>PROFIL ANSEHEN</v>
      </c>
    </row>
    <row r="4259" spans="1:12" x14ac:dyDescent="0.2">
      <c r="A4259" t="s">
        <v>4196</v>
      </c>
      <c r="B4259" t="s">
        <v>4197</v>
      </c>
      <c r="C4259" t="s">
        <v>202</v>
      </c>
      <c r="E4259" t="s">
        <v>1587</v>
      </c>
      <c r="F4259">
        <v>4900</v>
      </c>
      <c r="G4259" t="s">
        <v>41</v>
      </c>
      <c r="H4259" t="s">
        <v>16</v>
      </c>
      <c r="I4259" t="s">
        <v>2825</v>
      </c>
      <c r="J4259" t="s">
        <v>2826</v>
      </c>
      <c r="K4259" t="s">
        <v>1809</v>
      </c>
      <c r="L4259" t="str">
        <f>HYPERLINK("https://business-monitor.ch/de/companies/1009881-robo-studio-gmbh?utm_source=oberaargau","PROFIL ANSEHEN")</f>
        <v>PROFIL ANSEHEN</v>
      </c>
    </row>
    <row r="4260" spans="1:12" x14ac:dyDescent="0.2">
      <c r="A4260" t="s">
        <v>13275</v>
      </c>
      <c r="B4260" t="s">
        <v>13276</v>
      </c>
      <c r="C4260" t="s">
        <v>202</v>
      </c>
      <c r="D4260" t="s">
        <v>13277</v>
      </c>
      <c r="E4260" t="s">
        <v>13278</v>
      </c>
      <c r="F4260">
        <v>4538</v>
      </c>
      <c r="G4260" t="s">
        <v>71</v>
      </c>
      <c r="H4260" t="s">
        <v>16</v>
      </c>
      <c r="I4260" t="s">
        <v>10886</v>
      </c>
      <c r="J4260" t="s">
        <v>10887</v>
      </c>
      <c r="K4260" t="s">
        <v>1809</v>
      </c>
      <c r="L4260" t="str">
        <f>HYPERLINK("https://business-monitor.ch/de/companies/1253289-hebammen-bb-gmbh?utm_source=oberaargau","PROFIL ANSEHEN")</f>
        <v>PROFIL ANSEHEN</v>
      </c>
    </row>
    <row r="4261" spans="1:12" x14ac:dyDescent="0.2">
      <c r="A4261" t="s">
        <v>9589</v>
      </c>
      <c r="B4261" t="s">
        <v>9590</v>
      </c>
      <c r="C4261" t="s">
        <v>202</v>
      </c>
      <c r="E4261" t="s">
        <v>1929</v>
      </c>
      <c r="F4261">
        <v>4704</v>
      </c>
      <c r="G4261" t="s">
        <v>221</v>
      </c>
      <c r="H4261" t="s">
        <v>16</v>
      </c>
      <c r="I4261" t="s">
        <v>940</v>
      </c>
      <c r="J4261" t="s">
        <v>941</v>
      </c>
      <c r="K4261" t="s">
        <v>1809</v>
      </c>
      <c r="L4261" t="str">
        <f>HYPERLINK("https://business-monitor.ch/de/companies/940262-tekk-gmbh?utm_source=oberaargau","PROFIL ANSEHEN")</f>
        <v>PROFIL ANSEHEN</v>
      </c>
    </row>
    <row r="4262" spans="1:12" x14ac:dyDescent="0.2">
      <c r="A4262" t="s">
        <v>7249</v>
      </c>
      <c r="B4262" t="s">
        <v>7250</v>
      </c>
      <c r="C4262" t="s">
        <v>13</v>
      </c>
      <c r="E4262" t="s">
        <v>3141</v>
      </c>
      <c r="F4262">
        <v>4704</v>
      </c>
      <c r="G4262" t="s">
        <v>221</v>
      </c>
      <c r="H4262" t="s">
        <v>16</v>
      </c>
      <c r="I4262" t="s">
        <v>733</v>
      </c>
      <c r="J4262" t="s">
        <v>734</v>
      </c>
      <c r="K4262" t="s">
        <v>1809</v>
      </c>
      <c r="L4262" t="str">
        <f>HYPERLINK("https://business-monitor.ch/de/companies/1020225-rayan-car-ag?utm_source=oberaargau","PROFIL ANSEHEN")</f>
        <v>PROFIL ANSEHEN</v>
      </c>
    </row>
    <row r="4263" spans="1:12" x14ac:dyDescent="0.2">
      <c r="A4263" t="s">
        <v>12651</v>
      </c>
      <c r="B4263" t="s">
        <v>10371</v>
      </c>
      <c r="C4263" t="s">
        <v>1812</v>
      </c>
      <c r="E4263" t="s">
        <v>1875</v>
      </c>
      <c r="F4263">
        <v>4900</v>
      </c>
      <c r="G4263" t="s">
        <v>41</v>
      </c>
      <c r="H4263" t="s">
        <v>16</v>
      </c>
      <c r="I4263" t="s">
        <v>1818</v>
      </c>
      <c r="J4263" t="s">
        <v>1819</v>
      </c>
      <c r="K4263" t="s">
        <v>1809</v>
      </c>
      <c r="L4263" t="str">
        <f>HYPERLINK("https://business-monitor.ch/de/companies/1214865-schreier-versicherungen?utm_source=oberaargau","PROFIL ANSEHEN")</f>
        <v>PROFIL ANSEHEN</v>
      </c>
    </row>
    <row r="4264" spans="1:12" x14ac:dyDescent="0.2">
      <c r="A4264" t="s">
        <v>14656</v>
      </c>
      <c r="B4264" t="s">
        <v>14657</v>
      </c>
      <c r="C4264" t="s">
        <v>1812</v>
      </c>
      <c r="E4264" t="s">
        <v>14658</v>
      </c>
      <c r="F4264">
        <v>4704</v>
      </c>
      <c r="G4264" t="s">
        <v>221</v>
      </c>
      <c r="H4264" t="s">
        <v>16</v>
      </c>
      <c r="I4264" t="s">
        <v>77</v>
      </c>
      <c r="J4264" t="s">
        <v>78</v>
      </c>
      <c r="K4264" t="s">
        <v>1809</v>
      </c>
      <c r="L4264" t="str">
        <f>HYPERLINK("https://business-monitor.ch/de/companies/1305821-roethlisberger-aio-gu?utm_source=oberaargau","PROFIL ANSEHEN")</f>
        <v>PROFIL ANSEHEN</v>
      </c>
    </row>
    <row r="4265" spans="1:12" x14ac:dyDescent="0.2">
      <c r="A4265" t="s">
        <v>12030</v>
      </c>
      <c r="B4265" t="s">
        <v>12031</v>
      </c>
      <c r="C4265" t="s">
        <v>202</v>
      </c>
      <c r="E4265" t="s">
        <v>14659</v>
      </c>
      <c r="F4265">
        <v>4912</v>
      </c>
      <c r="G4265" t="s">
        <v>64</v>
      </c>
      <c r="H4265" t="s">
        <v>16</v>
      </c>
      <c r="I4265" t="s">
        <v>551</v>
      </c>
      <c r="J4265" t="s">
        <v>552</v>
      </c>
      <c r="K4265" t="s">
        <v>1809</v>
      </c>
      <c r="L4265" t="str">
        <f>HYPERLINK("https://business-monitor.ch/de/companies/1180957-corvera-consult-gmbh?utm_source=oberaargau","PROFIL ANSEHEN")</f>
        <v>PROFIL ANSEHEN</v>
      </c>
    </row>
    <row r="4266" spans="1:12" x14ac:dyDescent="0.2">
      <c r="A4266" t="s">
        <v>8877</v>
      </c>
      <c r="B4266" t="s">
        <v>8878</v>
      </c>
      <c r="C4266" t="s">
        <v>1922</v>
      </c>
      <c r="D4266" t="s">
        <v>1923</v>
      </c>
      <c r="E4266" t="s">
        <v>1329</v>
      </c>
      <c r="F4266">
        <v>4536</v>
      </c>
      <c r="G4266" t="s">
        <v>1395</v>
      </c>
      <c r="H4266" t="s">
        <v>16</v>
      </c>
      <c r="I4266" t="s">
        <v>1924</v>
      </c>
      <c r="J4266" t="s">
        <v>1925</v>
      </c>
      <c r="K4266" t="s">
        <v>1809</v>
      </c>
      <c r="L4266" t="str">
        <f>HYPERLINK("https://business-monitor.ch/de/companies/279821-geschwister-gugelmann-stiftung?utm_source=oberaargau","PROFIL ANSEHEN")</f>
        <v>PROFIL ANSEHEN</v>
      </c>
    </row>
    <row r="4267" spans="1:12" x14ac:dyDescent="0.2">
      <c r="A4267" t="s">
        <v>7089</v>
      </c>
      <c r="B4267" t="s">
        <v>7090</v>
      </c>
      <c r="C4267" t="s">
        <v>13</v>
      </c>
      <c r="E4267" t="s">
        <v>3365</v>
      </c>
      <c r="F4267">
        <v>3360</v>
      </c>
      <c r="G4267" t="s">
        <v>35</v>
      </c>
      <c r="H4267" t="s">
        <v>16</v>
      </c>
      <c r="I4267" t="s">
        <v>232</v>
      </c>
      <c r="J4267" t="s">
        <v>233</v>
      </c>
      <c r="K4267" t="s">
        <v>1809</v>
      </c>
      <c r="L4267" t="str">
        <f>HYPERLINK("https://business-monitor.ch/de/companies/672071-switax-ag?utm_source=oberaargau","PROFIL ANSEHEN")</f>
        <v>PROFIL ANSEHEN</v>
      </c>
    </row>
    <row r="4268" spans="1:12" x14ac:dyDescent="0.2">
      <c r="A4268" t="s">
        <v>5890</v>
      </c>
      <c r="B4268" t="s">
        <v>5891</v>
      </c>
      <c r="C4268" t="s">
        <v>13</v>
      </c>
      <c r="E4268" t="s">
        <v>5892</v>
      </c>
      <c r="F4268">
        <v>3360</v>
      </c>
      <c r="G4268" t="s">
        <v>35</v>
      </c>
      <c r="H4268" t="s">
        <v>16</v>
      </c>
      <c r="I4268" t="s">
        <v>1097</v>
      </c>
      <c r="J4268" t="s">
        <v>1098</v>
      </c>
      <c r="K4268" t="s">
        <v>1809</v>
      </c>
      <c r="L4268" t="str">
        <f>HYPERLINK("https://business-monitor.ch/de/companies/126281-vitalmind-ag?utm_source=oberaargau","PROFIL ANSEHEN")</f>
        <v>PROFIL ANSEHEN</v>
      </c>
    </row>
    <row r="4269" spans="1:12" x14ac:dyDescent="0.2">
      <c r="A4269" t="s">
        <v>7156</v>
      </c>
      <c r="B4269" t="s">
        <v>7157</v>
      </c>
      <c r="C4269" t="s">
        <v>202</v>
      </c>
      <c r="E4269" t="s">
        <v>7158</v>
      </c>
      <c r="F4269">
        <v>4937</v>
      </c>
      <c r="G4269" t="s">
        <v>951</v>
      </c>
      <c r="H4269" t="s">
        <v>16</v>
      </c>
      <c r="I4269" t="s">
        <v>153</v>
      </c>
      <c r="J4269" t="s">
        <v>154</v>
      </c>
      <c r="K4269" t="s">
        <v>1809</v>
      </c>
      <c r="L4269" t="str">
        <f>HYPERLINK("https://business-monitor.ch/de/companies/546085-kaempferengineering-gmbh?utm_source=oberaargau","PROFIL ANSEHEN")</f>
        <v>PROFIL ANSEHEN</v>
      </c>
    </row>
    <row r="4270" spans="1:12" x14ac:dyDescent="0.2">
      <c r="A4270" t="s">
        <v>7662</v>
      </c>
      <c r="B4270" t="s">
        <v>7663</v>
      </c>
      <c r="C4270" t="s">
        <v>1812</v>
      </c>
      <c r="E4270" t="s">
        <v>7664</v>
      </c>
      <c r="F4270">
        <v>4704</v>
      </c>
      <c r="G4270" t="s">
        <v>221</v>
      </c>
      <c r="H4270" t="s">
        <v>16</v>
      </c>
      <c r="I4270" t="s">
        <v>1855</v>
      </c>
      <c r="J4270" t="s">
        <v>1856</v>
      </c>
      <c r="K4270" t="s">
        <v>1809</v>
      </c>
      <c r="L4270" t="str">
        <f>HYPERLINK("https://business-monitor.ch/de/companies/628624-karolina-vucenovic-nails?utm_source=oberaargau","PROFIL ANSEHEN")</f>
        <v>PROFIL ANSEHEN</v>
      </c>
    </row>
    <row r="4271" spans="1:12" x14ac:dyDescent="0.2">
      <c r="A4271" t="s">
        <v>13750</v>
      </c>
      <c r="B4271" t="s">
        <v>13751</v>
      </c>
      <c r="C4271" t="s">
        <v>1812</v>
      </c>
      <c r="E4271" t="s">
        <v>13752</v>
      </c>
      <c r="F4271">
        <v>4912</v>
      </c>
      <c r="G4271" t="s">
        <v>64</v>
      </c>
      <c r="H4271" t="s">
        <v>16</v>
      </c>
      <c r="I4271" t="s">
        <v>603</v>
      </c>
      <c r="J4271" t="s">
        <v>604</v>
      </c>
      <c r="K4271" t="s">
        <v>1809</v>
      </c>
      <c r="L4271" t="str">
        <f>HYPERLINK("https://business-monitor.ch/de/companies/1255374-fit-accessories-hochuli?utm_source=oberaargau","PROFIL ANSEHEN")</f>
        <v>PROFIL ANSEHEN</v>
      </c>
    </row>
    <row r="4272" spans="1:12" x14ac:dyDescent="0.2">
      <c r="A4272" t="s">
        <v>8680</v>
      </c>
      <c r="B4272" t="s">
        <v>8681</v>
      </c>
      <c r="C4272" t="s">
        <v>1812</v>
      </c>
      <c r="E4272" t="s">
        <v>10742</v>
      </c>
      <c r="F4272">
        <v>3380</v>
      </c>
      <c r="G4272" t="s">
        <v>3483</v>
      </c>
      <c r="H4272" t="s">
        <v>16</v>
      </c>
      <c r="I4272" t="s">
        <v>748</v>
      </c>
      <c r="J4272" t="s">
        <v>749</v>
      </c>
      <c r="K4272" t="s">
        <v>1809</v>
      </c>
      <c r="L4272" t="str">
        <f>HYPERLINK("https://business-monitor.ch/de/companies/413619-bueetiger-gipser-und-malerarbeiten?utm_source=oberaargau","PROFIL ANSEHEN")</f>
        <v>PROFIL ANSEHEN</v>
      </c>
    </row>
    <row r="4273" spans="1:12" x14ac:dyDescent="0.2">
      <c r="A4273" t="s">
        <v>1930</v>
      </c>
      <c r="B4273" t="s">
        <v>1931</v>
      </c>
      <c r="C4273" t="s">
        <v>1812</v>
      </c>
      <c r="E4273" t="s">
        <v>1932</v>
      </c>
      <c r="F4273">
        <v>4900</v>
      </c>
      <c r="G4273" t="s">
        <v>41</v>
      </c>
      <c r="H4273" t="s">
        <v>16</v>
      </c>
      <c r="I4273" t="s">
        <v>475</v>
      </c>
      <c r="J4273" t="s">
        <v>476</v>
      </c>
      <c r="K4273" t="s">
        <v>1809</v>
      </c>
      <c r="L4273" t="str">
        <f>HYPERLINK("https://business-monitor.ch/de/companies/262074-mess-und-abschirmtechnik-christian-bolter?utm_source=oberaargau","PROFIL ANSEHEN")</f>
        <v>PROFIL ANSEHEN</v>
      </c>
    </row>
    <row r="4274" spans="1:12" x14ac:dyDescent="0.2">
      <c r="A4274" t="s">
        <v>3596</v>
      </c>
      <c r="B4274" t="s">
        <v>3597</v>
      </c>
      <c r="C4274" t="s">
        <v>13</v>
      </c>
      <c r="E4274" t="s">
        <v>3598</v>
      </c>
      <c r="F4274">
        <v>4912</v>
      </c>
      <c r="G4274" t="s">
        <v>64</v>
      </c>
      <c r="H4274" t="s">
        <v>16</v>
      </c>
      <c r="I4274" t="s">
        <v>191</v>
      </c>
      <c r="J4274" t="s">
        <v>192</v>
      </c>
      <c r="K4274" t="s">
        <v>1809</v>
      </c>
      <c r="L4274" t="str">
        <f>HYPERLINK("https://business-monitor.ch/de/companies/101464-ez-landmaschinen-ag?utm_source=oberaargau","PROFIL ANSEHEN")</f>
        <v>PROFIL ANSEHEN</v>
      </c>
    </row>
    <row r="4275" spans="1:12" x14ac:dyDescent="0.2">
      <c r="A4275" t="s">
        <v>56</v>
      </c>
      <c r="B4275" t="s">
        <v>10386</v>
      </c>
      <c r="C4275" t="s">
        <v>202</v>
      </c>
      <c r="E4275" t="s">
        <v>6998</v>
      </c>
      <c r="F4275">
        <v>4900</v>
      </c>
      <c r="G4275" t="s">
        <v>41</v>
      </c>
      <c r="H4275" t="s">
        <v>16</v>
      </c>
      <c r="I4275" t="s">
        <v>824</v>
      </c>
      <c r="J4275" t="s">
        <v>825</v>
      </c>
      <c r="K4275" t="s">
        <v>1809</v>
      </c>
      <c r="L4275" t="str">
        <f>HYPERLINK("https://business-monitor.ch/de/companies/47655-charles-brun-el-mosquito-gmbh?utm_source=oberaargau","PROFIL ANSEHEN")</f>
        <v>PROFIL ANSEHEN</v>
      </c>
    </row>
    <row r="4276" spans="1:12" x14ac:dyDescent="0.2">
      <c r="A4276" t="s">
        <v>3769</v>
      </c>
      <c r="B4276" t="s">
        <v>3770</v>
      </c>
      <c r="C4276" t="s">
        <v>84</v>
      </c>
      <c r="E4276" t="s">
        <v>3771</v>
      </c>
      <c r="F4276">
        <v>3360</v>
      </c>
      <c r="G4276" t="s">
        <v>35</v>
      </c>
      <c r="H4276" t="s">
        <v>16</v>
      </c>
      <c r="I4276" t="s">
        <v>3344</v>
      </c>
      <c r="J4276" t="s">
        <v>3345</v>
      </c>
      <c r="K4276" t="s">
        <v>1809</v>
      </c>
      <c r="L4276" t="str">
        <f>HYPERLINK("https://business-monitor.ch/de/companies/652538-spitex-genossenschaft-oberaargau-land?utm_source=oberaargau","PROFIL ANSEHEN")</f>
        <v>PROFIL ANSEHEN</v>
      </c>
    </row>
    <row r="4277" spans="1:12" x14ac:dyDescent="0.2">
      <c r="A4277" t="s">
        <v>4643</v>
      </c>
      <c r="B4277" t="s">
        <v>10803</v>
      </c>
      <c r="C4277" t="s">
        <v>202</v>
      </c>
      <c r="E4277" t="s">
        <v>4644</v>
      </c>
      <c r="F4277">
        <v>4704</v>
      </c>
      <c r="G4277" t="s">
        <v>221</v>
      </c>
      <c r="H4277" t="s">
        <v>16</v>
      </c>
      <c r="I4277" t="s">
        <v>551</v>
      </c>
      <c r="J4277" t="s">
        <v>552</v>
      </c>
      <c r="K4277" t="s">
        <v>1809</v>
      </c>
      <c r="L4277" t="str">
        <f>HYPERLINK("https://business-monitor.ch/de/companies/620934-hypernova-gmbh?utm_source=oberaargau","PROFIL ANSEHEN")</f>
        <v>PROFIL ANSEHEN</v>
      </c>
    </row>
    <row r="4278" spans="1:12" x14ac:dyDescent="0.2">
      <c r="A4278" t="s">
        <v>9511</v>
      </c>
      <c r="B4278" t="s">
        <v>9512</v>
      </c>
      <c r="C4278" t="s">
        <v>2258</v>
      </c>
      <c r="E4278" t="s">
        <v>9513</v>
      </c>
      <c r="F4278">
        <v>4917</v>
      </c>
      <c r="G4278" t="s">
        <v>376</v>
      </c>
      <c r="H4278" t="s">
        <v>16</v>
      </c>
      <c r="I4278" t="s">
        <v>366</v>
      </c>
      <c r="J4278" t="s">
        <v>367</v>
      </c>
      <c r="K4278" t="s">
        <v>1809</v>
      </c>
      <c r="L4278" t="str">
        <f>HYPERLINK("https://business-monitor.ch/de/companies/672183-altersheimverein-melchnau?utm_source=oberaargau","PROFIL ANSEHEN")</f>
        <v>PROFIL ANSEHEN</v>
      </c>
    </row>
    <row r="4279" spans="1:12" x14ac:dyDescent="0.2">
      <c r="A4279" t="s">
        <v>10050</v>
      </c>
      <c r="B4279" t="s">
        <v>10051</v>
      </c>
      <c r="C4279" t="s">
        <v>202</v>
      </c>
      <c r="E4279" t="s">
        <v>14660</v>
      </c>
      <c r="F4279">
        <v>4917</v>
      </c>
      <c r="G4279" t="s">
        <v>376</v>
      </c>
      <c r="H4279" t="s">
        <v>16</v>
      </c>
      <c r="I4279" t="s">
        <v>642</v>
      </c>
      <c r="J4279" t="s">
        <v>643</v>
      </c>
      <c r="K4279" t="s">
        <v>1809</v>
      </c>
      <c r="L4279" t="str">
        <f>HYPERLINK("https://business-monitor.ch/de/companies/697166-vobro-cars-gmbh?utm_source=oberaargau","PROFIL ANSEHEN")</f>
        <v>PROFIL ANSEHEN</v>
      </c>
    </row>
    <row r="4280" spans="1:12" x14ac:dyDescent="0.2">
      <c r="A4280" t="s">
        <v>12652</v>
      </c>
      <c r="B4280" t="s">
        <v>12653</v>
      </c>
      <c r="C4280" t="s">
        <v>2178</v>
      </c>
      <c r="E4280" t="s">
        <v>3509</v>
      </c>
      <c r="F4280">
        <v>4900</v>
      </c>
      <c r="G4280" t="s">
        <v>41</v>
      </c>
      <c r="H4280" t="s">
        <v>16</v>
      </c>
      <c r="I4280" t="s">
        <v>134</v>
      </c>
      <c r="J4280" t="s">
        <v>135</v>
      </c>
      <c r="K4280" t="s">
        <v>1809</v>
      </c>
      <c r="L4280" t="str">
        <f>HYPERLINK("https://business-monitor.ch/de/companies/1211443-muff-schmutz-ag?utm_source=oberaargau","PROFIL ANSEHEN")</f>
        <v>PROFIL ANSEHEN</v>
      </c>
    </row>
    <row r="4281" spans="1:12" x14ac:dyDescent="0.2">
      <c r="A4281" t="s">
        <v>4071</v>
      </c>
      <c r="B4281" t="s">
        <v>4072</v>
      </c>
      <c r="C4281" t="s">
        <v>202</v>
      </c>
      <c r="D4281" t="s">
        <v>4073</v>
      </c>
      <c r="E4281" t="s">
        <v>4074</v>
      </c>
      <c r="F4281">
        <v>4912</v>
      </c>
      <c r="G4281" t="s">
        <v>64</v>
      </c>
      <c r="H4281" t="s">
        <v>16</v>
      </c>
      <c r="I4281" t="s">
        <v>331</v>
      </c>
      <c r="J4281" t="s">
        <v>332</v>
      </c>
      <c r="K4281" t="s">
        <v>1809</v>
      </c>
      <c r="L4281" t="str">
        <f>HYPERLINK("https://business-monitor.ch/de/companies/1049372-remako-gmbh?utm_source=oberaargau","PROFIL ANSEHEN")</f>
        <v>PROFIL ANSEHEN</v>
      </c>
    </row>
    <row r="4282" spans="1:12" x14ac:dyDescent="0.2">
      <c r="A4282" t="s">
        <v>9151</v>
      </c>
      <c r="B4282" t="s">
        <v>9152</v>
      </c>
      <c r="C4282" t="s">
        <v>13</v>
      </c>
      <c r="E4282" t="s">
        <v>996</v>
      </c>
      <c r="F4282">
        <v>4934</v>
      </c>
      <c r="G4282" t="s">
        <v>670</v>
      </c>
      <c r="H4282" t="s">
        <v>16</v>
      </c>
      <c r="I4282" t="s">
        <v>824</v>
      </c>
      <c r="J4282" t="s">
        <v>825</v>
      </c>
      <c r="K4282" t="s">
        <v>1809</v>
      </c>
      <c r="L4282" t="str">
        <f>HYPERLINK("https://business-monitor.ch/de/companies/171594-ar-strahm-ag?utm_source=oberaargau","PROFIL ANSEHEN")</f>
        <v>PROFIL ANSEHEN</v>
      </c>
    </row>
    <row r="4283" spans="1:12" x14ac:dyDescent="0.2">
      <c r="A4283" t="s">
        <v>12897</v>
      </c>
      <c r="B4283" t="s">
        <v>12898</v>
      </c>
      <c r="C4283" t="s">
        <v>1812</v>
      </c>
      <c r="E4283" t="s">
        <v>11066</v>
      </c>
      <c r="F4283">
        <v>3360</v>
      </c>
      <c r="G4283" t="s">
        <v>35</v>
      </c>
      <c r="H4283" t="s">
        <v>16</v>
      </c>
      <c r="I4283" t="s">
        <v>134</v>
      </c>
      <c r="J4283" t="s">
        <v>135</v>
      </c>
      <c r="K4283" t="s">
        <v>1809</v>
      </c>
      <c r="L4283" t="str">
        <f>HYPERLINK("https://business-monitor.ch/de/companies/1217671-sabani-elektro?utm_source=oberaargau","PROFIL ANSEHEN")</f>
        <v>PROFIL ANSEHEN</v>
      </c>
    </row>
    <row r="4284" spans="1:12" x14ac:dyDescent="0.2">
      <c r="A4284" t="s">
        <v>9081</v>
      </c>
      <c r="B4284" t="s">
        <v>9082</v>
      </c>
      <c r="C4284" t="s">
        <v>13</v>
      </c>
      <c r="E4284" t="s">
        <v>4405</v>
      </c>
      <c r="F4284">
        <v>4950</v>
      </c>
      <c r="G4284" t="s">
        <v>15</v>
      </c>
      <c r="H4284" t="s">
        <v>16</v>
      </c>
      <c r="I4284" t="s">
        <v>86</v>
      </c>
      <c r="J4284" t="s">
        <v>87</v>
      </c>
      <c r="K4284" t="s">
        <v>1809</v>
      </c>
      <c r="L4284" t="str">
        <f>HYPERLINK("https://business-monitor.ch/de/companies/173794-tierarztpraxis-dr-marti-ag?utm_source=oberaargau","PROFIL ANSEHEN")</f>
        <v>PROFIL ANSEHEN</v>
      </c>
    </row>
    <row r="4285" spans="1:12" x14ac:dyDescent="0.2">
      <c r="A4285" t="s">
        <v>3792</v>
      </c>
      <c r="B4285" t="s">
        <v>3793</v>
      </c>
      <c r="C4285" t="s">
        <v>1812</v>
      </c>
      <c r="E4285" t="s">
        <v>3794</v>
      </c>
      <c r="F4285">
        <v>4537</v>
      </c>
      <c r="G4285" t="s">
        <v>113</v>
      </c>
      <c r="H4285" t="s">
        <v>16</v>
      </c>
      <c r="I4285" t="s">
        <v>1470</v>
      </c>
      <c r="J4285" t="s">
        <v>1471</v>
      </c>
      <c r="K4285" t="s">
        <v>1809</v>
      </c>
      <c r="L4285" t="str">
        <f>HYPERLINK("https://business-monitor.ch/de/companies/583426-f-tschumi-haustechnik?utm_source=oberaargau","PROFIL ANSEHEN")</f>
        <v>PROFIL ANSEHEN</v>
      </c>
    </row>
    <row r="4286" spans="1:12" x14ac:dyDescent="0.2">
      <c r="A4286" t="s">
        <v>14304</v>
      </c>
      <c r="B4286" t="s">
        <v>14305</v>
      </c>
      <c r="C4286" t="s">
        <v>202</v>
      </c>
      <c r="D4286" t="s">
        <v>4774</v>
      </c>
      <c r="E4286" t="s">
        <v>4775</v>
      </c>
      <c r="F4286">
        <v>4900</v>
      </c>
      <c r="G4286" t="s">
        <v>41</v>
      </c>
      <c r="H4286" t="s">
        <v>16</v>
      </c>
      <c r="I4286" t="s">
        <v>153</v>
      </c>
      <c r="J4286" t="s">
        <v>154</v>
      </c>
      <c r="K4286" t="s">
        <v>1809</v>
      </c>
      <c r="L4286" t="str">
        <f>HYPERLINK("https://business-monitor.ch/de/companies/1295188-wae-consulting-gmbh?utm_source=oberaargau","PROFIL ANSEHEN")</f>
        <v>PROFIL ANSEHEN</v>
      </c>
    </row>
    <row r="4287" spans="1:12" x14ac:dyDescent="0.2">
      <c r="A4287" t="s">
        <v>10056</v>
      </c>
      <c r="B4287" t="s">
        <v>10057</v>
      </c>
      <c r="C4287" t="s">
        <v>1812</v>
      </c>
      <c r="E4287" t="s">
        <v>10058</v>
      </c>
      <c r="F4287">
        <v>4704</v>
      </c>
      <c r="G4287" t="s">
        <v>221</v>
      </c>
      <c r="H4287" t="s">
        <v>16</v>
      </c>
      <c r="I4287" t="s">
        <v>1097</v>
      </c>
      <c r="J4287" t="s">
        <v>1098</v>
      </c>
      <c r="K4287" t="s">
        <v>1809</v>
      </c>
      <c r="L4287" t="str">
        <f>HYPERLINK("https://business-monitor.ch/de/companies/696469-born-creations?utm_source=oberaargau","PROFIL ANSEHEN")</f>
        <v>PROFIL ANSEHEN</v>
      </c>
    </row>
    <row r="4288" spans="1:12" x14ac:dyDescent="0.2">
      <c r="A4288" t="s">
        <v>7342</v>
      </c>
      <c r="B4288" t="s">
        <v>7343</v>
      </c>
      <c r="C4288" t="s">
        <v>1812</v>
      </c>
      <c r="E4288" t="s">
        <v>7344</v>
      </c>
      <c r="F4288">
        <v>3368</v>
      </c>
      <c r="G4288" t="s">
        <v>308</v>
      </c>
      <c r="H4288" t="s">
        <v>16</v>
      </c>
      <c r="I4288" t="s">
        <v>8345</v>
      </c>
      <c r="J4288" t="s">
        <v>8346</v>
      </c>
      <c r="K4288" t="s">
        <v>1809</v>
      </c>
      <c r="L4288" t="str">
        <f>HYPERLINK("https://business-monitor.ch/de/companies/989876-der-mobile-zimmermann-inhaber-ledermann?utm_source=oberaargau","PROFIL ANSEHEN")</f>
        <v>PROFIL ANSEHEN</v>
      </c>
    </row>
    <row r="4289" spans="1:12" x14ac:dyDescent="0.2">
      <c r="A4289" t="s">
        <v>4571</v>
      </c>
      <c r="B4289" t="s">
        <v>4572</v>
      </c>
      <c r="C4289" t="s">
        <v>202</v>
      </c>
      <c r="E4289" t="s">
        <v>4573</v>
      </c>
      <c r="F4289">
        <v>4900</v>
      </c>
      <c r="G4289" t="s">
        <v>41</v>
      </c>
      <c r="H4289" t="s">
        <v>16</v>
      </c>
      <c r="I4289" t="s">
        <v>838</v>
      </c>
      <c r="J4289" t="s">
        <v>839</v>
      </c>
      <c r="K4289" t="s">
        <v>1809</v>
      </c>
      <c r="L4289" t="str">
        <f>HYPERLINK("https://business-monitor.ch/de/companies/654067-accessoires-blitz-gmbh?utm_source=oberaargau","PROFIL ANSEHEN")</f>
        <v>PROFIL ANSEHEN</v>
      </c>
    </row>
    <row r="4290" spans="1:12" x14ac:dyDescent="0.2">
      <c r="A4290" t="s">
        <v>14340</v>
      </c>
      <c r="B4290" t="s">
        <v>14341</v>
      </c>
      <c r="C4290" t="s">
        <v>1812</v>
      </c>
      <c r="E4290" t="s">
        <v>3742</v>
      </c>
      <c r="F4290">
        <v>4900</v>
      </c>
      <c r="G4290" t="s">
        <v>41</v>
      </c>
      <c r="H4290" t="s">
        <v>16</v>
      </c>
      <c r="I4290" t="s">
        <v>4105</v>
      </c>
      <c r="J4290" t="s">
        <v>4106</v>
      </c>
      <c r="K4290" t="s">
        <v>1809</v>
      </c>
      <c r="L4290" t="str">
        <f>HYPERLINK("https://business-monitor.ch/de/companies/1286806-modellflugzentrum-ch-darina-bruegger?utm_source=oberaargau","PROFIL ANSEHEN")</f>
        <v>PROFIL ANSEHEN</v>
      </c>
    </row>
    <row r="4291" spans="1:12" x14ac:dyDescent="0.2">
      <c r="A4291" t="s">
        <v>14254</v>
      </c>
      <c r="B4291" t="s">
        <v>14255</v>
      </c>
      <c r="C4291" t="s">
        <v>202</v>
      </c>
      <c r="E4291" t="s">
        <v>10940</v>
      </c>
      <c r="F4291">
        <v>3360</v>
      </c>
      <c r="G4291" t="s">
        <v>35</v>
      </c>
      <c r="H4291" t="s">
        <v>16</v>
      </c>
      <c r="I4291" t="s">
        <v>845</v>
      </c>
      <c r="J4291" t="s">
        <v>846</v>
      </c>
      <c r="K4291" t="s">
        <v>1809</v>
      </c>
      <c r="L4291" t="str">
        <f>HYPERLINK("https://business-monitor.ch/de/companies/1286291-toni-bau-umbau-gmbh?utm_source=oberaargau","PROFIL ANSEHEN")</f>
        <v>PROFIL ANSEHEN</v>
      </c>
    </row>
    <row r="4292" spans="1:12" x14ac:dyDescent="0.2">
      <c r="A4292" t="s">
        <v>1788</v>
      </c>
      <c r="B4292" t="s">
        <v>1789</v>
      </c>
      <c r="C4292" t="s">
        <v>13</v>
      </c>
      <c r="E4292" t="s">
        <v>1790</v>
      </c>
      <c r="F4292">
        <v>4537</v>
      </c>
      <c r="G4292" t="s">
        <v>113</v>
      </c>
      <c r="H4292" t="s">
        <v>16</v>
      </c>
      <c r="I4292" t="s">
        <v>858</v>
      </c>
      <c r="J4292" t="s">
        <v>859</v>
      </c>
      <c r="K4292" t="s">
        <v>1809</v>
      </c>
      <c r="L4292" t="str">
        <f>HYPERLINK("https://business-monitor.ch/de/companies/87125-schneider-galvano-ag?utm_source=oberaargau","PROFIL ANSEHEN")</f>
        <v>PROFIL ANSEHEN</v>
      </c>
    </row>
    <row r="4293" spans="1:12" x14ac:dyDescent="0.2">
      <c r="A4293" t="s">
        <v>3606</v>
      </c>
      <c r="B4293" t="s">
        <v>3607</v>
      </c>
      <c r="C4293" t="s">
        <v>13</v>
      </c>
      <c r="E4293" t="s">
        <v>3608</v>
      </c>
      <c r="F4293">
        <v>4914</v>
      </c>
      <c r="G4293" t="s">
        <v>717</v>
      </c>
      <c r="H4293" t="s">
        <v>16</v>
      </c>
      <c r="I4293" t="s">
        <v>134</v>
      </c>
      <c r="J4293" t="s">
        <v>135</v>
      </c>
      <c r="K4293" t="s">
        <v>1809</v>
      </c>
      <c r="L4293" t="str">
        <f>HYPERLINK("https://business-monitor.ch/de/companies/95966-elektro-hofer-roth-ag?utm_source=oberaargau","PROFIL ANSEHEN")</f>
        <v>PROFIL ANSEHEN</v>
      </c>
    </row>
    <row r="4294" spans="1:12" x14ac:dyDescent="0.2">
      <c r="A4294" t="s">
        <v>6052</v>
      </c>
      <c r="B4294" t="s">
        <v>6053</v>
      </c>
      <c r="C4294" t="s">
        <v>13</v>
      </c>
      <c r="E4294" t="s">
        <v>6054</v>
      </c>
      <c r="F4294">
        <v>4537</v>
      </c>
      <c r="G4294" t="s">
        <v>113</v>
      </c>
      <c r="H4294" t="s">
        <v>16</v>
      </c>
      <c r="I4294" t="s">
        <v>96</v>
      </c>
      <c r="J4294" t="s">
        <v>97</v>
      </c>
      <c r="K4294" t="s">
        <v>1809</v>
      </c>
      <c r="L4294" t="str">
        <f>HYPERLINK("https://business-monitor.ch/de/companies/54938-grueenseeli-ag?utm_source=oberaargau","PROFIL ANSEHEN")</f>
        <v>PROFIL ANSEHEN</v>
      </c>
    </row>
    <row r="4295" spans="1:12" x14ac:dyDescent="0.2">
      <c r="A4295" t="s">
        <v>5139</v>
      </c>
      <c r="B4295" t="s">
        <v>9216</v>
      </c>
      <c r="C4295" t="s">
        <v>13</v>
      </c>
      <c r="E4295" t="s">
        <v>241</v>
      </c>
      <c r="F4295">
        <v>4922</v>
      </c>
      <c r="G4295" t="s">
        <v>99</v>
      </c>
      <c r="H4295" t="s">
        <v>16</v>
      </c>
      <c r="I4295" t="s">
        <v>157</v>
      </c>
      <c r="J4295" t="s">
        <v>158</v>
      </c>
      <c r="K4295" t="s">
        <v>1809</v>
      </c>
      <c r="L4295" t="str">
        <f>HYPERLINK("https://business-monitor.ch/de/companies/135026-zimmermann-ag-immo-verwaltung?utm_source=oberaargau","PROFIL ANSEHEN")</f>
        <v>PROFIL ANSEHEN</v>
      </c>
    </row>
    <row r="4296" spans="1:12" x14ac:dyDescent="0.2">
      <c r="A4296" t="s">
        <v>4584</v>
      </c>
      <c r="B4296" t="s">
        <v>4585</v>
      </c>
      <c r="C4296" t="s">
        <v>202</v>
      </c>
      <c r="E4296" t="s">
        <v>4586</v>
      </c>
      <c r="F4296">
        <v>4932</v>
      </c>
      <c r="G4296" t="s">
        <v>325</v>
      </c>
      <c r="H4296" t="s">
        <v>16</v>
      </c>
      <c r="I4296" t="s">
        <v>1062</v>
      </c>
      <c r="J4296" t="s">
        <v>1063</v>
      </c>
      <c r="K4296" t="s">
        <v>1809</v>
      </c>
      <c r="L4296" t="str">
        <f>HYPERLINK("https://business-monitor.ch/de/companies/651651-dwb-bau-gmbh?utm_source=oberaargau","PROFIL ANSEHEN")</f>
        <v>PROFIL ANSEHEN</v>
      </c>
    </row>
    <row r="4297" spans="1:12" x14ac:dyDescent="0.2">
      <c r="A4297" t="s">
        <v>8988</v>
      </c>
      <c r="B4297" t="s">
        <v>8989</v>
      </c>
      <c r="C4297" t="s">
        <v>13</v>
      </c>
      <c r="E4297" t="s">
        <v>5205</v>
      </c>
      <c r="F4297">
        <v>4900</v>
      </c>
      <c r="G4297" t="s">
        <v>41</v>
      </c>
      <c r="H4297" t="s">
        <v>16</v>
      </c>
      <c r="I4297" t="s">
        <v>955</v>
      </c>
      <c r="J4297" t="s">
        <v>956</v>
      </c>
      <c r="K4297" t="s">
        <v>1809</v>
      </c>
      <c r="L4297" t="str">
        <f>HYPERLINK("https://business-monitor.ch/de/companies/245602-garden-life-ag?utm_source=oberaargau","PROFIL ANSEHEN")</f>
        <v>PROFIL ANSEHEN</v>
      </c>
    </row>
    <row r="4298" spans="1:12" x14ac:dyDescent="0.2">
      <c r="A4298" t="s">
        <v>9024</v>
      </c>
      <c r="B4298" t="s">
        <v>9025</v>
      </c>
      <c r="C4298" t="s">
        <v>202</v>
      </c>
      <c r="E4298" t="s">
        <v>9026</v>
      </c>
      <c r="F4298">
        <v>4704</v>
      </c>
      <c r="G4298" t="s">
        <v>221</v>
      </c>
      <c r="H4298" t="s">
        <v>16</v>
      </c>
      <c r="I4298" t="s">
        <v>134</v>
      </c>
      <c r="J4298" t="s">
        <v>135</v>
      </c>
      <c r="K4298" t="s">
        <v>1809</v>
      </c>
      <c r="L4298" t="str">
        <f>HYPERLINK("https://business-monitor.ch/de/companies/222423-elektro-werner-gmbh?utm_source=oberaargau","PROFIL ANSEHEN")</f>
        <v>PROFIL ANSEHEN</v>
      </c>
    </row>
    <row r="4299" spans="1:12" x14ac:dyDescent="0.2">
      <c r="A4299" t="s">
        <v>7437</v>
      </c>
      <c r="B4299" t="s">
        <v>7438</v>
      </c>
      <c r="C4299" t="s">
        <v>13</v>
      </c>
      <c r="E4299" t="s">
        <v>12964</v>
      </c>
      <c r="F4299">
        <v>4900</v>
      </c>
      <c r="G4299" t="s">
        <v>41</v>
      </c>
      <c r="H4299" t="s">
        <v>16</v>
      </c>
      <c r="I4299" t="s">
        <v>182</v>
      </c>
      <c r="J4299" t="s">
        <v>183</v>
      </c>
      <c r="K4299" t="s">
        <v>1809</v>
      </c>
      <c r="L4299" t="str">
        <f>HYPERLINK("https://business-monitor.ch/de/companies/943446-rspj-holding-ag?utm_source=oberaargau","PROFIL ANSEHEN")</f>
        <v>PROFIL ANSEHEN</v>
      </c>
    </row>
    <row r="4300" spans="1:12" x14ac:dyDescent="0.2">
      <c r="A4300" t="s">
        <v>3766</v>
      </c>
      <c r="B4300" t="s">
        <v>3767</v>
      </c>
      <c r="C4300" t="s">
        <v>1812</v>
      </c>
      <c r="E4300" t="s">
        <v>3768</v>
      </c>
      <c r="F4300">
        <v>4536</v>
      </c>
      <c r="G4300" t="s">
        <v>1395</v>
      </c>
      <c r="H4300" t="s">
        <v>16</v>
      </c>
      <c r="I4300" t="s">
        <v>1039</v>
      </c>
      <c r="J4300" t="s">
        <v>1040</v>
      </c>
      <c r="K4300" t="s">
        <v>1809</v>
      </c>
      <c r="L4300" t="str">
        <f>HYPERLINK("https://business-monitor.ch/de/companies/598722-brennerei-wyss?utm_source=oberaargau","PROFIL ANSEHEN")</f>
        <v>PROFIL ANSEHEN</v>
      </c>
    </row>
    <row r="4301" spans="1:12" x14ac:dyDescent="0.2">
      <c r="A4301" t="s">
        <v>7845</v>
      </c>
      <c r="B4301" t="s">
        <v>7846</v>
      </c>
      <c r="C4301" t="s">
        <v>1827</v>
      </c>
      <c r="E4301" t="s">
        <v>2196</v>
      </c>
      <c r="F4301">
        <v>3380</v>
      </c>
      <c r="G4301" t="s">
        <v>29</v>
      </c>
      <c r="H4301" t="s">
        <v>16</v>
      </c>
      <c r="I4301" t="s">
        <v>671</v>
      </c>
      <c r="J4301" t="s">
        <v>672</v>
      </c>
      <c r="K4301" t="s">
        <v>1809</v>
      </c>
      <c r="L4301" t="str">
        <f>HYPERLINK("https://business-monitor.ch/de/companies/386463-stadthofpraxis-dres-med-a-und-c-steinmann?utm_source=oberaargau","PROFIL ANSEHEN")</f>
        <v>PROFIL ANSEHEN</v>
      </c>
    </row>
    <row r="4302" spans="1:12" x14ac:dyDescent="0.2">
      <c r="A4302" t="s">
        <v>10108</v>
      </c>
      <c r="B4302" t="s">
        <v>10109</v>
      </c>
      <c r="C4302" t="s">
        <v>13</v>
      </c>
      <c r="E4302" t="s">
        <v>3099</v>
      </c>
      <c r="F4302">
        <v>4954</v>
      </c>
      <c r="G4302" t="s">
        <v>359</v>
      </c>
      <c r="H4302" t="s">
        <v>16</v>
      </c>
      <c r="I4302" t="s">
        <v>2897</v>
      </c>
      <c r="J4302" t="s">
        <v>2898</v>
      </c>
      <c r="K4302" t="s">
        <v>1809</v>
      </c>
      <c r="L4302" t="str">
        <f>HYPERLINK("https://business-monitor.ch/de/companies/672628-heiniger-lohnarbeiten-ag?utm_source=oberaargau","PROFIL ANSEHEN")</f>
        <v>PROFIL ANSEHEN</v>
      </c>
    </row>
    <row r="4303" spans="1:12" x14ac:dyDescent="0.2">
      <c r="A4303" t="s">
        <v>6939</v>
      </c>
      <c r="B4303" t="s">
        <v>6940</v>
      </c>
      <c r="C4303" t="s">
        <v>202</v>
      </c>
      <c r="E4303" t="s">
        <v>6941</v>
      </c>
      <c r="F4303">
        <v>4912</v>
      </c>
      <c r="G4303" t="s">
        <v>64</v>
      </c>
      <c r="H4303" t="s">
        <v>16</v>
      </c>
      <c r="I4303" t="s">
        <v>1485</v>
      </c>
      <c r="J4303" t="s">
        <v>1486</v>
      </c>
      <c r="K4303" t="s">
        <v>1809</v>
      </c>
      <c r="L4303" t="str">
        <f>HYPERLINK("https://business-monitor.ch/de/companies/968358-detailhandel-markus-baumann-gmbh?utm_source=oberaargau","PROFIL ANSEHEN")</f>
        <v>PROFIL ANSEHEN</v>
      </c>
    </row>
    <row r="4304" spans="1:12" x14ac:dyDescent="0.2">
      <c r="A4304" t="s">
        <v>14661</v>
      </c>
      <c r="B4304" t="s">
        <v>14662</v>
      </c>
      <c r="C4304" t="s">
        <v>13</v>
      </c>
      <c r="E4304" t="s">
        <v>11434</v>
      </c>
      <c r="F4304">
        <v>4704</v>
      </c>
      <c r="G4304" t="s">
        <v>221</v>
      </c>
      <c r="H4304" t="s">
        <v>16</v>
      </c>
      <c r="I4304" t="s">
        <v>14663</v>
      </c>
      <c r="J4304" t="s">
        <v>14664</v>
      </c>
      <c r="K4304" t="s">
        <v>1809</v>
      </c>
      <c r="L4304" t="str">
        <f>HYPERLINK("https://business-monitor.ch/de/companies/4427-cleantex-services-ag?utm_source=oberaargau","PROFIL ANSEHEN")</f>
        <v>PROFIL ANSEHEN</v>
      </c>
    </row>
    <row r="4305" spans="1:12" x14ac:dyDescent="0.2">
      <c r="A4305" t="s">
        <v>4129</v>
      </c>
      <c r="B4305" t="s">
        <v>14275</v>
      </c>
      <c r="C4305" t="s">
        <v>1812</v>
      </c>
      <c r="E4305" t="s">
        <v>4130</v>
      </c>
      <c r="F4305">
        <v>4914</v>
      </c>
      <c r="G4305" t="s">
        <v>105</v>
      </c>
      <c r="H4305" t="s">
        <v>16</v>
      </c>
      <c r="I4305" t="s">
        <v>464</v>
      </c>
      <c r="J4305" t="s">
        <v>465</v>
      </c>
      <c r="K4305" t="s">
        <v>1809</v>
      </c>
      <c r="L4305" t="str">
        <f>HYPERLINK("https://business-monitor.ch/de/companies/1029600-ata-gabrko-haj-hussein?utm_source=oberaargau","PROFIL ANSEHEN")</f>
        <v>PROFIL ANSEHEN</v>
      </c>
    </row>
    <row r="4306" spans="1:12" x14ac:dyDescent="0.2">
      <c r="A4306" t="s">
        <v>10350</v>
      </c>
      <c r="B4306" t="s">
        <v>10351</v>
      </c>
      <c r="C4306" t="s">
        <v>13</v>
      </c>
      <c r="E4306" t="s">
        <v>652</v>
      </c>
      <c r="F4306">
        <v>4914</v>
      </c>
      <c r="G4306" t="s">
        <v>105</v>
      </c>
      <c r="H4306" t="s">
        <v>16</v>
      </c>
      <c r="I4306" t="s">
        <v>551</v>
      </c>
      <c r="J4306" t="s">
        <v>552</v>
      </c>
      <c r="K4306" t="s">
        <v>1809</v>
      </c>
      <c r="L4306" t="str">
        <f>HYPERLINK("https://business-monitor.ch/de/companies/536697-sunnsite-management-ag?utm_source=oberaargau","PROFIL ANSEHEN")</f>
        <v>PROFIL ANSEHEN</v>
      </c>
    </row>
    <row r="4307" spans="1:12" x14ac:dyDescent="0.2">
      <c r="A4307" t="s">
        <v>9526</v>
      </c>
      <c r="B4307" t="s">
        <v>9527</v>
      </c>
      <c r="C4307" t="s">
        <v>1812</v>
      </c>
      <c r="E4307" t="s">
        <v>2607</v>
      </c>
      <c r="F4307">
        <v>4704</v>
      </c>
      <c r="G4307" t="s">
        <v>221</v>
      </c>
      <c r="H4307" t="s">
        <v>16</v>
      </c>
      <c r="I4307" t="s">
        <v>642</v>
      </c>
      <c r="J4307" t="s">
        <v>643</v>
      </c>
      <c r="K4307" t="s">
        <v>1809</v>
      </c>
      <c r="L4307" t="str">
        <f>HYPERLINK("https://business-monitor.ch/de/companies/662850-frey-tuning-garage?utm_source=oberaargau","PROFIL ANSEHEN")</f>
        <v>PROFIL ANSEHEN</v>
      </c>
    </row>
    <row r="4308" spans="1:12" x14ac:dyDescent="0.2">
      <c r="A4308" t="s">
        <v>12789</v>
      </c>
      <c r="B4308" t="s">
        <v>12790</v>
      </c>
      <c r="C4308" t="s">
        <v>202</v>
      </c>
      <c r="E4308" t="s">
        <v>12791</v>
      </c>
      <c r="F4308">
        <v>4900</v>
      </c>
      <c r="G4308" t="s">
        <v>41</v>
      </c>
      <c r="H4308" t="s">
        <v>16</v>
      </c>
      <c r="I4308" t="s">
        <v>1855</v>
      </c>
      <c r="J4308" t="s">
        <v>1856</v>
      </c>
      <c r="K4308" t="s">
        <v>1809</v>
      </c>
      <c r="L4308" t="str">
        <f>HYPERLINK("https://business-monitor.ch/de/companies/1113874-unikat-doener-gmbh?utm_source=oberaargau","PROFIL ANSEHEN")</f>
        <v>PROFIL ANSEHEN</v>
      </c>
    </row>
    <row r="4309" spans="1:12" x14ac:dyDescent="0.2">
      <c r="A4309" t="s">
        <v>9810</v>
      </c>
      <c r="B4309" t="s">
        <v>9811</v>
      </c>
      <c r="C4309" t="s">
        <v>202</v>
      </c>
      <c r="E4309" t="s">
        <v>9812</v>
      </c>
      <c r="F4309">
        <v>4938</v>
      </c>
      <c r="G4309" t="s">
        <v>1909</v>
      </c>
      <c r="H4309" t="s">
        <v>16</v>
      </c>
      <c r="I4309" t="s">
        <v>1409</v>
      </c>
      <c r="J4309" t="s">
        <v>1410</v>
      </c>
      <c r="K4309" t="s">
        <v>1809</v>
      </c>
      <c r="L4309" t="str">
        <f>HYPERLINK("https://business-monitor.ch/de/companies/1010521-ganzenberger-kaese-gmbh-schuetz-andreas?utm_source=oberaargau","PROFIL ANSEHEN")</f>
        <v>PROFIL ANSEHEN</v>
      </c>
    </row>
    <row r="4310" spans="1:12" x14ac:dyDescent="0.2">
      <c r="A4310" t="s">
        <v>12818</v>
      </c>
      <c r="B4310" t="s">
        <v>12819</v>
      </c>
      <c r="C4310" t="s">
        <v>202</v>
      </c>
      <c r="E4310" t="s">
        <v>12820</v>
      </c>
      <c r="F4310">
        <v>4934</v>
      </c>
      <c r="G4310" t="s">
        <v>670</v>
      </c>
      <c r="H4310" t="s">
        <v>16</v>
      </c>
      <c r="I4310" t="s">
        <v>596</v>
      </c>
      <c r="J4310" t="s">
        <v>597</v>
      </c>
      <c r="K4310" t="s">
        <v>1809</v>
      </c>
      <c r="L4310" t="str">
        <f>HYPERLINK("https://business-monitor.ch/de/companies/1222659-valser-service-winkler-gmbh?utm_source=oberaargau","PROFIL ANSEHEN")</f>
        <v>PROFIL ANSEHEN</v>
      </c>
    </row>
    <row r="4311" spans="1:12" x14ac:dyDescent="0.2">
      <c r="A4311" t="s">
        <v>7810</v>
      </c>
      <c r="B4311" t="s">
        <v>7811</v>
      </c>
      <c r="C4311" t="s">
        <v>13</v>
      </c>
      <c r="E4311" t="s">
        <v>7812</v>
      </c>
      <c r="F4311">
        <v>4938</v>
      </c>
      <c r="G4311" t="s">
        <v>618</v>
      </c>
      <c r="H4311" t="s">
        <v>16</v>
      </c>
      <c r="I4311" t="s">
        <v>4641</v>
      </c>
      <c r="J4311" t="s">
        <v>4642</v>
      </c>
      <c r="K4311" t="s">
        <v>1809</v>
      </c>
      <c r="L4311" t="str">
        <f>HYPERLINK("https://business-monitor.ch/de/companies/541663-ad-kira-ag?utm_source=oberaargau","PROFIL ANSEHEN")</f>
        <v>PROFIL ANSEHEN</v>
      </c>
    </row>
    <row r="4312" spans="1:12" x14ac:dyDescent="0.2">
      <c r="A4312" t="s">
        <v>7242</v>
      </c>
      <c r="B4312" t="s">
        <v>7243</v>
      </c>
      <c r="C4312" t="s">
        <v>202</v>
      </c>
      <c r="E4312" t="s">
        <v>3525</v>
      </c>
      <c r="F4312">
        <v>3377</v>
      </c>
      <c r="G4312" t="s">
        <v>1307</v>
      </c>
      <c r="H4312" t="s">
        <v>16</v>
      </c>
      <c r="I4312" t="s">
        <v>1097</v>
      </c>
      <c r="J4312" t="s">
        <v>1098</v>
      </c>
      <c r="K4312" t="s">
        <v>1809</v>
      </c>
      <c r="L4312" t="str">
        <f>HYPERLINK("https://business-monitor.ch/de/companies/1023047-itemsnstuff-gmbh?utm_source=oberaargau","PROFIL ANSEHEN")</f>
        <v>PROFIL ANSEHEN</v>
      </c>
    </row>
    <row r="4313" spans="1:12" x14ac:dyDescent="0.2">
      <c r="A4313" t="s">
        <v>3764</v>
      </c>
      <c r="B4313" t="s">
        <v>3765</v>
      </c>
      <c r="C4313" t="s">
        <v>1812</v>
      </c>
      <c r="E4313" t="s">
        <v>2238</v>
      </c>
      <c r="F4313">
        <v>4932</v>
      </c>
      <c r="G4313" t="s">
        <v>325</v>
      </c>
      <c r="H4313" t="s">
        <v>16</v>
      </c>
      <c r="I4313" t="s">
        <v>1841</v>
      </c>
      <c r="J4313" t="s">
        <v>1842</v>
      </c>
      <c r="K4313" t="s">
        <v>1809</v>
      </c>
      <c r="L4313" t="str">
        <f>HYPERLINK("https://business-monitor.ch/de/companies/1008790-massage4-sport-gesundheit-theresia-ammann?utm_source=oberaargau","PROFIL ANSEHEN")</f>
        <v>PROFIL ANSEHEN</v>
      </c>
    </row>
    <row r="4314" spans="1:12" x14ac:dyDescent="0.2">
      <c r="A4314" t="s">
        <v>5720</v>
      </c>
      <c r="B4314" t="s">
        <v>5721</v>
      </c>
      <c r="C4314" t="s">
        <v>84</v>
      </c>
      <c r="D4314" t="s">
        <v>5722</v>
      </c>
      <c r="E4314" t="s">
        <v>10966</v>
      </c>
      <c r="F4314">
        <v>4900</v>
      </c>
      <c r="G4314" t="s">
        <v>41</v>
      </c>
      <c r="H4314" t="s">
        <v>16</v>
      </c>
      <c r="I4314" t="s">
        <v>2921</v>
      </c>
      <c r="J4314" t="s">
        <v>2922</v>
      </c>
      <c r="K4314" t="s">
        <v>1809</v>
      </c>
      <c r="L4314" t="str">
        <f>HYPERLINK("https://business-monitor.ch/de/companies/70609-pferde-versicherungs-genossenschaft-von-langenthal-und-umgebung?utm_source=oberaargau","PROFIL ANSEHEN")</f>
        <v>PROFIL ANSEHEN</v>
      </c>
    </row>
    <row r="4315" spans="1:12" x14ac:dyDescent="0.2">
      <c r="A4315" t="s">
        <v>5533</v>
      </c>
      <c r="B4315" t="s">
        <v>5534</v>
      </c>
      <c r="C4315" t="s">
        <v>13</v>
      </c>
      <c r="E4315" t="s">
        <v>5535</v>
      </c>
      <c r="F4315">
        <v>4912</v>
      </c>
      <c r="G4315" t="s">
        <v>64</v>
      </c>
      <c r="H4315" t="s">
        <v>16</v>
      </c>
      <c r="I4315" t="s">
        <v>928</v>
      </c>
      <c r="J4315" t="s">
        <v>929</v>
      </c>
      <c r="K4315" t="s">
        <v>1809</v>
      </c>
      <c r="L4315" t="str">
        <f>HYPERLINK("https://business-monitor.ch/de/companies/83539-b-waelchli-ag?utm_source=oberaargau","PROFIL ANSEHEN")</f>
        <v>PROFIL ANSEHEN</v>
      </c>
    </row>
    <row r="4316" spans="1:12" x14ac:dyDescent="0.2">
      <c r="A4316" t="s">
        <v>4060</v>
      </c>
      <c r="B4316" t="s">
        <v>4061</v>
      </c>
      <c r="C4316" t="s">
        <v>202</v>
      </c>
      <c r="E4316" t="s">
        <v>3135</v>
      </c>
      <c r="F4316">
        <v>3360</v>
      </c>
      <c r="G4316" t="s">
        <v>35</v>
      </c>
      <c r="H4316" t="s">
        <v>16</v>
      </c>
      <c r="I4316" t="s">
        <v>1296</v>
      </c>
      <c r="J4316" t="s">
        <v>1297</v>
      </c>
      <c r="K4316" t="s">
        <v>1809</v>
      </c>
      <c r="L4316" t="str">
        <f>HYPERLINK("https://business-monitor.ch/de/companies/1027282-wyssmann-gmbh?utm_source=oberaargau","PROFIL ANSEHEN")</f>
        <v>PROFIL ANSEHEN</v>
      </c>
    </row>
    <row r="4317" spans="1:12" x14ac:dyDescent="0.2">
      <c r="A4317" t="s">
        <v>6727</v>
      </c>
      <c r="B4317" t="s">
        <v>6728</v>
      </c>
      <c r="C4317" t="s">
        <v>202</v>
      </c>
      <c r="E4317" t="s">
        <v>6729</v>
      </c>
      <c r="F4317">
        <v>4952</v>
      </c>
      <c r="G4317" t="s">
        <v>474</v>
      </c>
      <c r="H4317" t="s">
        <v>16</v>
      </c>
      <c r="I4317" t="s">
        <v>662</v>
      </c>
      <c r="J4317" t="s">
        <v>663</v>
      </c>
      <c r="K4317" t="s">
        <v>1809</v>
      </c>
      <c r="L4317" t="str">
        <f>HYPERLINK("https://business-monitor.ch/de/companies/133329-jost-bedachungen-gmbh?utm_source=oberaargau","PROFIL ANSEHEN")</f>
        <v>PROFIL ANSEHEN</v>
      </c>
    </row>
    <row r="4318" spans="1:12" x14ac:dyDescent="0.2">
      <c r="A4318" t="s">
        <v>14103</v>
      </c>
      <c r="B4318" t="s">
        <v>14104</v>
      </c>
      <c r="C4318" t="s">
        <v>1812</v>
      </c>
      <c r="E4318" t="s">
        <v>2837</v>
      </c>
      <c r="F4318">
        <v>3360</v>
      </c>
      <c r="G4318" t="s">
        <v>35</v>
      </c>
      <c r="H4318" t="s">
        <v>16</v>
      </c>
      <c r="I4318" t="s">
        <v>824</v>
      </c>
      <c r="J4318" t="s">
        <v>825</v>
      </c>
      <c r="K4318" t="s">
        <v>1809</v>
      </c>
      <c r="L4318" t="str">
        <f>HYPERLINK("https://business-monitor.ch/de/companies/1293258-first-class-al-obaidi?utm_source=oberaargau","PROFIL ANSEHEN")</f>
        <v>PROFIL ANSEHEN</v>
      </c>
    </row>
    <row r="4319" spans="1:12" x14ac:dyDescent="0.2">
      <c r="A4319" t="s">
        <v>8426</v>
      </c>
      <c r="B4319" t="s">
        <v>8427</v>
      </c>
      <c r="C4319" t="s">
        <v>1812</v>
      </c>
      <c r="E4319" t="s">
        <v>6814</v>
      </c>
      <c r="F4319">
        <v>4950</v>
      </c>
      <c r="G4319" t="s">
        <v>15</v>
      </c>
      <c r="H4319" t="s">
        <v>16</v>
      </c>
      <c r="I4319" t="s">
        <v>492</v>
      </c>
      <c r="J4319" t="s">
        <v>493</v>
      </c>
      <c r="K4319" t="s">
        <v>1809</v>
      </c>
      <c r="L4319" t="str">
        <f>HYPERLINK("https://business-monitor.ch/de/companies/1081716-schlaarpe-bueezer-rene-meier?utm_source=oberaargau","PROFIL ANSEHEN")</f>
        <v>PROFIL ANSEHEN</v>
      </c>
    </row>
    <row r="4320" spans="1:12" x14ac:dyDescent="0.2">
      <c r="A4320" t="s">
        <v>13106</v>
      </c>
      <c r="B4320" t="s">
        <v>13107</v>
      </c>
      <c r="C4320" t="s">
        <v>1827</v>
      </c>
      <c r="E4320" t="s">
        <v>13108</v>
      </c>
      <c r="F4320">
        <v>4952</v>
      </c>
      <c r="G4320" t="s">
        <v>474</v>
      </c>
      <c r="H4320" t="s">
        <v>16</v>
      </c>
      <c r="I4320" t="s">
        <v>13109</v>
      </c>
      <c r="J4320" t="s">
        <v>13110</v>
      </c>
      <c r="K4320" t="s">
        <v>1809</v>
      </c>
      <c r="L4320" t="str">
        <f>HYPERLINK("https://business-monitor.ch/de/companies/1239647-thanboden-klg?utm_source=oberaargau","PROFIL ANSEHEN")</f>
        <v>PROFIL ANSEHEN</v>
      </c>
    </row>
    <row r="4321" spans="1:12" x14ac:dyDescent="0.2">
      <c r="A4321" t="s">
        <v>10379</v>
      </c>
      <c r="B4321" t="s">
        <v>10380</v>
      </c>
      <c r="C4321" t="s">
        <v>13</v>
      </c>
      <c r="E4321" t="s">
        <v>110</v>
      </c>
      <c r="F4321">
        <v>3380</v>
      </c>
      <c r="G4321" t="s">
        <v>29</v>
      </c>
      <c r="H4321" t="s">
        <v>16</v>
      </c>
      <c r="I4321" t="s">
        <v>182</v>
      </c>
      <c r="J4321" t="s">
        <v>183</v>
      </c>
      <c r="K4321" t="s">
        <v>1809</v>
      </c>
      <c r="L4321" t="str">
        <f>HYPERLINK("https://business-monitor.ch/de/companies/118163-tgw-holding-ag?utm_source=oberaargau","PROFIL ANSEHEN")</f>
        <v>PROFIL ANSEHEN</v>
      </c>
    </row>
    <row r="4322" spans="1:12" x14ac:dyDescent="0.2">
      <c r="A4322" t="s">
        <v>6425</v>
      </c>
      <c r="B4322" t="s">
        <v>6426</v>
      </c>
      <c r="C4322" t="s">
        <v>1812</v>
      </c>
      <c r="E4322" t="s">
        <v>6427</v>
      </c>
      <c r="F4322">
        <v>4912</v>
      </c>
      <c r="G4322" t="s">
        <v>64</v>
      </c>
      <c r="H4322" t="s">
        <v>16</v>
      </c>
      <c r="I4322" t="s">
        <v>1470</v>
      </c>
      <c r="J4322" t="s">
        <v>1471</v>
      </c>
      <c r="K4322" t="s">
        <v>1809</v>
      </c>
      <c r="L4322" t="str">
        <f>HYPERLINK("https://business-monitor.ch/de/companies/283570-ueli-gabi?utm_source=oberaargau","PROFIL ANSEHEN")</f>
        <v>PROFIL ANSEHEN</v>
      </c>
    </row>
    <row r="4323" spans="1:12" x14ac:dyDescent="0.2">
      <c r="A4323" t="s">
        <v>4475</v>
      </c>
      <c r="B4323" t="s">
        <v>4476</v>
      </c>
      <c r="C4323" t="s">
        <v>13</v>
      </c>
      <c r="E4323" t="s">
        <v>4477</v>
      </c>
      <c r="F4323">
        <v>4919</v>
      </c>
      <c r="G4323" t="s">
        <v>3489</v>
      </c>
      <c r="H4323" t="s">
        <v>16</v>
      </c>
      <c r="I4323" t="s">
        <v>475</v>
      </c>
      <c r="J4323" t="s">
        <v>476</v>
      </c>
      <c r="K4323" t="s">
        <v>1809</v>
      </c>
      <c r="L4323" t="str">
        <f>HYPERLINK("https://business-monitor.ch/de/companies/717822-r-l-ag?utm_source=oberaargau","PROFIL ANSEHEN")</f>
        <v>PROFIL ANSEHEN</v>
      </c>
    </row>
    <row r="4324" spans="1:12" x14ac:dyDescent="0.2">
      <c r="A4324" t="s">
        <v>14276</v>
      </c>
      <c r="B4324" t="s">
        <v>14277</v>
      </c>
      <c r="C4324" t="s">
        <v>202</v>
      </c>
      <c r="E4324" t="s">
        <v>9493</v>
      </c>
      <c r="F4324">
        <v>4912</v>
      </c>
      <c r="G4324" t="s">
        <v>64</v>
      </c>
      <c r="H4324" t="s">
        <v>16</v>
      </c>
      <c r="I4324" t="s">
        <v>2640</v>
      </c>
      <c r="J4324" t="s">
        <v>2641</v>
      </c>
      <c r="K4324" t="s">
        <v>1809</v>
      </c>
      <c r="L4324" t="str">
        <f>HYPERLINK("https://business-monitor.ch/de/companies/333610-krcars-gmbh?utm_source=oberaargau","PROFIL ANSEHEN")</f>
        <v>PROFIL ANSEHEN</v>
      </c>
    </row>
    <row r="4325" spans="1:12" x14ac:dyDescent="0.2">
      <c r="A4325" t="s">
        <v>11337</v>
      </c>
      <c r="B4325" t="s">
        <v>11338</v>
      </c>
      <c r="C4325" t="s">
        <v>202</v>
      </c>
      <c r="E4325" t="s">
        <v>13584</v>
      </c>
      <c r="F4325">
        <v>4919</v>
      </c>
      <c r="G4325" t="s">
        <v>3489</v>
      </c>
      <c r="H4325" t="s">
        <v>16</v>
      </c>
      <c r="I4325" t="s">
        <v>4582</v>
      </c>
      <c r="J4325" t="s">
        <v>4583</v>
      </c>
      <c r="K4325" t="s">
        <v>1809</v>
      </c>
      <c r="L4325" t="str">
        <f>HYPERLINK("https://business-monitor.ch/de/companies/1136425-roth-forst-gmbh?utm_source=oberaargau","PROFIL ANSEHEN")</f>
        <v>PROFIL ANSEHEN</v>
      </c>
    </row>
    <row r="4326" spans="1:12" x14ac:dyDescent="0.2">
      <c r="A4326" t="s">
        <v>8621</v>
      </c>
      <c r="B4326" t="s">
        <v>8622</v>
      </c>
      <c r="C4326" t="s">
        <v>13</v>
      </c>
      <c r="E4326" t="s">
        <v>3179</v>
      </c>
      <c r="F4326">
        <v>4900</v>
      </c>
      <c r="G4326" t="s">
        <v>41</v>
      </c>
      <c r="H4326" t="s">
        <v>16</v>
      </c>
      <c r="I4326" t="s">
        <v>298</v>
      </c>
      <c r="J4326" t="s">
        <v>299</v>
      </c>
      <c r="K4326" t="s">
        <v>1809</v>
      </c>
      <c r="L4326" t="str">
        <f>HYPERLINK("https://business-monitor.ch/de/companies/147507-semi-supply-ag?utm_source=oberaargau","PROFIL ANSEHEN")</f>
        <v>PROFIL ANSEHEN</v>
      </c>
    </row>
    <row r="4327" spans="1:12" x14ac:dyDescent="0.2">
      <c r="A4327" t="s">
        <v>5579</v>
      </c>
      <c r="B4327" t="s">
        <v>5580</v>
      </c>
      <c r="C4327" t="s">
        <v>202</v>
      </c>
      <c r="E4327" t="s">
        <v>5581</v>
      </c>
      <c r="F4327">
        <v>4932</v>
      </c>
      <c r="G4327" t="s">
        <v>325</v>
      </c>
      <c r="H4327" t="s">
        <v>16</v>
      </c>
      <c r="I4327" t="s">
        <v>845</v>
      </c>
      <c r="J4327" t="s">
        <v>846</v>
      </c>
      <c r="K4327" t="s">
        <v>1809</v>
      </c>
      <c r="L4327" t="str">
        <f>HYPERLINK("https://business-monitor.ch/de/companies/242206-rio-pool-technics-gmbh?utm_source=oberaargau","PROFIL ANSEHEN")</f>
        <v>PROFIL ANSEHEN</v>
      </c>
    </row>
    <row r="4328" spans="1:12" x14ac:dyDescent="0.2">
      <c r="A4328" t="s">
        <v>13128</v>
      </c>
      <c r="B4328" t="s">
        <v>13129</v>
      </c>
      <c r="C4328" t="s">
        <v>1812</v>
      </c>
      <c r="E4328" t="s">
        <v>13130</v>
      </c>
      <c r="F4328">
        <v>4900</v>
      </c>
      <c r="G4328" t="s">
        <v>41</v>
      </c>
      <c r="H4328" t="s">
        <v>16</v>
      </c>
      <c r="I4328" t="s">
        <v>824</v>
      </c>
      <c r="J4328" t="s">
        <v>825</v>
      </c>
      <c r="K4328" t="s">
        <v>1809</v>
      </c>
      <c r="L4328" t="str">
        <f>HYPERLINK("https://business-monitor.ch/de/companies/1237023-restaurant-staeaebli-to?utm_source=oberaargau","PROFIL ANSEHEN")</f>
        <v>PROFIL ANSEHEN</v>
      </c>
    </row>
    <row r="4329" spans="1:12" x14ac:dyDescent="0.2">
      <c r="A4329" t="s">
        <v>8524</v>
      </c>
      <c r="B4329" t="s">
        <v>8525</v>
      </c>
      <c r="C4329" t="s">
        <v>202</v>
      </c>
      <c r="D4329" t="s">
        <v>8526</v>
      </c>
      <c r="E4329" t="s">
        <v>1179</v>
      </c>
      <c r="F4329">
        <v>4937</v>
      </c>
      <c r="G4329" t="s">
        <v>951</v>
      </c>
      <c r="H4329" t="s">
        <v>16</v>
      </c>
      <c r="I4329" t="s">
        <v>186</v>
      </c>
      <c r="J4329" t="s">
        <v>187</v>
      </c>
      <c r="K4329" t="s">
        <v>1809</v>
      </c>
      <c r="L4329" t="str">
        <f>HYPERLINK("https://business-monitor.ch/de/companies/1035704-generation-graber-holding-gmbh?utm_source=oberaargau","PROFIL ANSEHEN")</f>
        <v>PROFIL ANSEHEN</v>
      </c>
    </row>
    <row r="4330" spans="1:12" x14ac:dyDescent="0.2">
      <c r="A4330" t="s">
        <v>11190</v>
      </c>
      <c r="B4330" t="s">
        <v>11191</v>
      </c>
      <c r="C4330" t="s">
        <v>202</v>
      </c>
      <c r="E4330" t="s">
        <v>7747</v>
      </c>
      <c r="F4330">
        <v>4913</v>
      </c>
      <c r="G4330" t="s">
        <v>207</v>
      </c>
      <c r="H4330" t="s">
        <v>16</v>
      </c>
      <c r="I4330" t="s">
        <v>186</v>
      </c>
      <c r="J4330" t="s">
        <v>187</v>
      </c>
      <c r="K4330" t="s">
        <v>1809</v>
      </c>
      <c r="L4330" t="str">
        <f>HYPERLINK("https://business-monitor.ch/de/companies/1136967-ryf-holding-gmbh?utm_source=oberaargau","PROFIL ANSEHEN")</f>
        <v>PROFIL ANSEHEN</v>
      </c>
    </row>
    <row r="4331" spans="1:12" x14ac:dyDescent="0.2">
      <c r="A4331" t="s">
        <v>12677</v>
      </c>
      <c r="B4331" t="s">
        <v>12678</v>
      </c>
      <c r="C4331" t="s">
        <v>202</v>
      </c>
      <c r="E4331" t="s">
        <v>3275</v>
      </c>
      <c r="F4331">
        <v>4900</v>
      </c>
      <c r="G4331" t="s">
        <v>41</v>
      </c>
      <c r="H4331" t="s">
        <v>16</v>
      </c>
      <c r="I4331" t="s">
        <v>4577</v>
      </c>
      <c r="J4331" t="s">
        <v>4578</v>
      </c>
      <c r="K4331" t="s">
        <v>1809</v>
      </c>
      <c r="L4331" t="str">
        <f>HYPERLINK("https://business-monitor.ch/de/companies/1213778-goat-art-gmbh?utm_source=oberaargau","PROFIL ANSEHEN")</f>
        <v>PROFIL ANSEHEN</v>
      </c>
    </row>
    <row r="4332" spans="1:12" x14ac:dyDescent="0.2">
      <c r="A4332" t="s">
        <v>13040</v>
      </c>
      <c r="B4332" t="s">
        <v>13041</v>
      </c>
      <c r="C4332" t="s">
        <v>13</v>
      </c>
      <c r="E4332" t="s">
        <v>1084</v>
      </c>
      <c r="F4332">
        <v>4900</v>
      </c>
      <c r="G4332" t="s">
        <v>41</v>
      </c>
      <c r="H4332" t="s">
        <v>16</v>
      </c>
      <c r="I4332" t="s">
        <v>935</v>
      </c>
      <c r="J4332" t="s">
        <v>936</v>
      </c>
      <c r="K4332" t="s">
        <v>1809</v>
      </c>
      <c r="L4332" t="str">
        <f>HYPERLINK("https://business-monitor.ch/de/companies/1230367-belfanti-entwicklung-und-invest-ag?utm_source=oberaargau","PROFIL ANSEHEN")</f>
        <v>PROFIL ANSEHEN</v>
      </c>
    </row>
    <row r="4333" spans="1:12" x14ac:dyDescent="0.2">
      <c r="A4333" t="s">
        <v>6666</v>
      </c>
      <c r="B4333" t="s">
        <v>6667</v>
      </c>
      <c r="C4333" t="s">
        <v>84</v>
      </c>
      <c r="D4333" t="s">
        <v>11569</v>
      </c>
      <c r="E4333" t="s">
        <v>11570</v>
      </c>
      <c r="F4333">
        <v>4955</v>
      </c>
      <c r="G4333" t="s">
        <v>684</v>
      </c>
      <c r="H4333" t="s">
        <v>16</v>
      </c>
      <c r="I4333" t="s">
        <v>640</v>
      </c>
      <c r="J4333" t="s">
        <v>641</v>
      </c>
      <c r="K4333" t="s">
        <v>1809</v>
      </c>
      <c r="L4333" t="str">
        <f>HYPERLINK("https://business-monitor.ch/de/companies/175163-kaesereigenossenschaft-gondiswil?utm_source=oberaargau","PROFIL ANSEHEN")</f>
        <v>PROFIL ANSEHEN</v>
      </c>
    </row>
    <row r="4334" spans="1:12" x14ac:dyDescent="0.2">
      <c r="A4334" t="s">
        <v>3243</v>
      </c>
      <c r="B4334" t="s">
        <v>3244</v>
      </c>
      <c r="C4334" t="s">
        <v>13</v>
      </c>
      <c r="E4334" t="s">
        <v>984</v>
      </c>
      <c r="F4334">
        <v>4900</v>
      </c>
      <c r="G4334" t="s">
        <v>41</v>
      </c>
      <c r="H4334" t="s">
        <v>16</v>
      </c>
      <c r="I4334" t="s">
        <v>232</v>
      </c>
      <c r="J4334" t="s">
        <v>233</v>
      </c>
      <c r="K4334" t="s">
        <v>1809</v>
      </c>
      <c r="L4334" t="str">
        <f>HYPERLINK("https://business-monitor.ch/de/companies/265238-i-bernet-ag?utm_source=oberaargau","PROFIL ANSEHEN")</f>
        <v>PROFIL ANSEHEN</v>
      </c>
    </row>
    <row r="4335" spans="1:12" x14ac:dyDescent="0.2">
      <c r="A4335" t="s">
        <v>9591</v>
      </c>
      <c r="B4335" t="s">
        <v>9592</v>
      </c>
      <c r="C4335" t="s">
        <v>1812</v>
      </c>
      <c r="E4335" t="s">
        <v>9593</v>
      </c>
      <c r="F4335">
        <v>3360</v>
      </c>
      <c r="G4335" t="s">
        <v>35</v>
      </c>
      <c r="H4335" t="s">
        <v>16</v>
      </c>
      <c r="I4335" t="s">
        <v>642</v>
      </c>
      <c r="J4335" t="s">
        <v>643</v>
      </c>
      <c r="K4335" t="s">
        <v>1809</v>
      </c>
      <c r="L4335" t="str">
        <f>HYPERLINK("https://business-monitor.ch/de/companies/724931-alt-opel-garage-marcel-morf?utm_source=oberaargau","PROFIL ANSEHEN")</f>
        <v>PROFIL ANSEHEN</v>
      </c>
    </row>
    <row r="4336" spans="1:12" x14ac:dyDescent="0.2">
      <c r="A4336" t="s">
        <v>11749</v>
      </c>
      <c r="B4336" t="s">
        <v>11750</v>
      </c>
      <c r="C4336" t="s">
        <v>1812</v>
      </c>
      <c r="E4336" t="s">
        <v>1146</v>
      </c>
      <c r="F4336">
        <v>3360</v>
      </c>
      <c r="G4336" t="s">
        <v>35</v>
      </c>
      <c r="H4336" t="s">
        <v>16</v>
      </c>
      <c r="I4336" t="s">
        <v>2433</v>
      </c>
      <c r="J4336" t="s">
        <v>2434</v>
      </c>
      <c r="K4336" t="s">
        <v>1809</v>
      </c>
      <c r="L4336" t="str">
        <f>HYPERLINK("https://business-monitor.ch/de/companies/1150206-clara-capitis-inh-rouven-seidler?utm_source=oberaargau","PROFIL ANSEHEN")</f>
        <v>PROFIL ANSEHEN</v>
      </c>
    </row>
    <row r="4337" spans="1:12" x14ac:dyDescent="0.2">
      <c r="A4337" t="s">
        <v>4618</v>
      </c>
      <c r="B4337" t="s">
        <v>4619</v>
      </c>
      <c r="C4337" t="s">
        <v>13</v>
      </c>
      <c r="E4337" t="s">
        <v>4620</v>
      </c>
      <c r="F4337">
        <v>4704</v>
      </c>
      <c r="G4337" t="s">
        <v>221</v>
      </c>
      <c r="H4337" t="s">
        <v>16</v>
      </c>
      <c r="I4337" t="s">
        <v>824</v>
      </c>
      <c r="J4337" t="s">
        <v>825</v>
      </c>
      <c r="K4337" t="s">
        <v>1809</v>
      </c>
      <c r="L4337" t="str">
        <f>HYPERLINK("https://business-monitor.ch/de/companies/635471-andrebipp-ag?utm_source=oberaargau","PROFIL ANSEHEN")</f>
        <v>PROFIL ANSEHEN</v>
      </c>
    </row>
    <row r="4338" spans="1:12" x14ac:dyDescent="0.2">
      <c r="A4338" t="s">
        <v>13025</v>
      </c>
      <c r="B4338" t="s">
        <v>13026</v>
      </c>
      <c r="C4338" t="s">
        <v>13</v>
      </c>
      <c r="E4338" t="s">
        <v>13027</v>
      </c>
      <c r="F4338">
        <v>4537</v>
      </c>
      <c r="G4338" t="s">
        <v>113</v>
      </c>
      <c r="H4338" t="s">
        <v>16</v>
      </c>
      <c r="I4338" t="s">
        <v>935</v>
      </c>
      <c r="J4338" t="s">
        <v>936</v>
      </c>
      <c r="K4338" t="s">
        <v>1809</v>
      </c>
      <c r="L4338" t="str">
        <f>HYPERLINK("https://business-monitor.ch/de/companies/1239430-be-invest-immo-ag?utm_source=oberaargau","PROFIL ANSEHEN")</f>
        <v>PROFIL ANSEHEN</v>
      </c>
    </row>
    <row r="4339" spans="1:12" x14ac:dyDescent="0.2">
      <c r="A4339" t="s">
        <v>7841</v>
      </c>
      <c r="B4339" t="s">
        <v>7842</v>
      </c>
      <c r="C4339" t="s">
        <v>13</v>
      </c>
      <c r="E4339" t="s">
        <v>1796</v>
      </c>
      <c r="F4339">
        <v>4900</v>
      </c>
      <c r="G4339" t="s">
        <v>41</v>
      </c>
      <c r="H4339" t="s">
        <v>16</v>
      </c>
      <c r="I4339" t="s">
        <v>3864</v>
      </c>
      <c r="J4339" t="s">
        <v>3865</v>
      </c>
      <c r="K4339" t="s">
        <v>1809</v>
      </c>
      <c r="L4339" t="str">
        <f>HYPERLINK("https://business-monitor.ch/de/companies/66255-fotozone-langenthal-ag?utm_source=oberaargau","PROFIL ANSEHEN")</f>
        <v>PROFIL ANSEHEN</v>
      </c>
    </row>
    <row r="4340" spans="1:12" x14ac:dyDescent="0.2">
      <c r="A4340" t="s">
        <v>14063</v>
      </c>
      <c r="B4340" t="s">
        <v>14064</v>
      </c>
      <c r="C4340" t="s">
        <v>1812</v>
      </c>
      <c r="E4340" t="s">
        <v>14065</v>
      </c>
      <c r="F4340">
        <v>4923</v>
      </c>
      <c r="G4340" t="s">
        <v>732</v>
      </c>
      <c r="H4340" t="s">
        <v>16</v>
      </c>
      <c r="I4340" t="s">
        <v>464</v>
      </c>
      <c r="J4340" t="s">
        <v>465</v>
      </c>
      <c r="K4340" t="s">
        <v>1809</v>
      </c>
      <c r="L4340" t="str">
        <f>HYPERLINK("https://business-monitor.ch/de/companies/1274367-transport-logistik-zevzet-oglou?utm_source=oberaargau","PROFIL ANSEHEN")</f>
        <v>PROFIL ANSEHEN</v>
      </c>
    </row>
    <row r="4341" spans="1:12" x14ac:dyDescent="0.2">
      <c r="A4341" t="s">
        <v>6216</v>
      </c>
      <c r="B4341" t="s">
        <v>6217</v>
      </c>
      <c r="C4341" t="s">
        <v>202</v>
      </c>
      <c r="E4341" t="s">
        <v>2966</v>
      </c>
      <c r="F4341">
        <v>4537</v>
      </c>
      <c r="G4341" t="s">
        <v>113</v>
      </c>
      <c r="H4341" t="s">
        <v>16</v>
      </c>
      <c r="I4341" t="s">
        <v>1097</v>
      </c>
      <c r="J4341" t="s">
        <v>1098</v>
      </c>
      <c r="K4341" t="s">
        <v>1809</v>
      </c>
      <c r="L4341" t="str">
        <f>HYPERLINK("https://business-monitor.ch/de/companies/973993-hundmobil-gmbh?utm_source=oberaargau","PROFIL ANSEHEN")</f>
        <v>PROFIL ANSEHEN</v>
      </c>
    </row>
    <row r="4342" spans="1:12" x14ac:dyDescent="0.2">
      <c r="A4342" t="s">
        <v>6300</v>
      </c>
      <c r="B4342" t="s">
        <v>6301</v>
      </c>
      <c r="C4342" t="s">
        <v>1827</v>
      </c>
      <c r="E4342" t="s">
        <v>6302</v>
      </c>
      <c r="F4342">
        <v>4950</v>
      </c>
      <c r="G4342" t="s">
        <v>15</v>
      </c>
      <c r="H4342" t="s">
        <v>16</v>
      </c>
      <c r="I4342" t="s">
        <v>1889</v>
      </c>
      <c r="J4342" t="s">
        <v>1890</v>
      </c>
      <c r="K4342" t="s">
        <v>1809</v>
      </c>
      <c r="L4342" t="str">
        <f>HYPERLINK("https://business-monitor.ch/de/companies/335072-speedy-s-expressdienst-zuercher-co?utm_source=oberaargau","PROFIL ANSEHEN")</f>
        <v>PROFIL ANSEHEN</v>
      </c>
    </row>
    <row r="4343" spans="1:12" x14ac:dyDescent="0.2">
      <c r="A4343" t="s">
        <v>14665</v>
      </c>
      <c r="B4343" t="s">
        <v>14666</v>
      </c>
      <c r="C4343" t="s">
        <v>202</v>
      </c>
      <c r="E4343" t="s">
        <v>385</v>
      </c>
      <c r="F4343">
        <v>3360</v>
      </c>
      <c r="G4343" t="s">
        <v>35</v>
      </c>
      <c r="H4343" t="s">
        <v>16</v>
      </c>
      <c r="I4343" t="s">
        <v>232</v>
      </c>
      <c r="J4343" t="s">
        <v>233</v>
      </c>
      <c r="K4343" t="s">
        <v>1809</v>
      </c>
      <c r="L4343" t="str">
        <f>HYPERLINK("https://business-monitor.ch/de/companies/1298542-abraxas-wyss-advisory-gmbh?utm_source=oberaargau","PROFIL ANSEHEN")</f>
        <v>PROFIL ANSEHEN</v>
      </c>
    </row>
    <row r="4344" spans="1:12" x14ac:dyDescent="0.2">
      <c r="A4344" t="s">
        <v>14105</v>
      </c>
      <c r="B4344" t="s">
        <v>14106</v>
      </c>
      <c r="C4344" t="s">
        <v>1812</v>
      </c>
      <c r="E4344" t="s">
        <v>13341</v>
      </c>
      <c r="F4344">
        <v>3362</v>
      </c>
      <c r="G4344" t="s">
        <v>47</v>
      </c>
      <c r="H4344" t="s">
        <v>16</v>
      </c>
      <c r="I4344" t="s">
        <v>642</v>
      </c>
      <c r="J4344" t="s">
        <v>643</v>
      </c>
      <c r="K4344" t="s">
        <v>1809</v>
      </c>
      <c r="L4344" t="str">
        <f>HYPERLINK("https://business-monitor.ch/de/companies/1295441-mocra-automobile-palushi?utm_source=oberaargau","PROFIL ANSEHEN")</f>
        <v>PROFIL ANSEHEN</v>
      </c>
    </row>
    <row r="4345" spans="1:12" x14ac:dyDescent="0.2">
      <c r="A4345" t="s">
        <v>12577</v>
      </c>
      <c r="B4345" t="s">
        <v>12578</v>
      </c>
      <c r="C4345" t="s">
        <v>13</v>
      </c>
      <c r="D4345" t="s">
        <v>12579</v>
      </c>
      <c r="E4345" t="s">
        <v>1256</v>
      </c>
      <c r="F4345">
        <v>3360</v>
      </c>
      <c r="G4345" t="s">
        <v>35</v>
      </c>
      <c r="H4345" t="s">
        <v>16</v>
      </c>
      <c r="I4345" t="s">
        <v>182</v>
      </c>
      <c r="J4345" t="s">
        <v>183</v>
      </c>
      <c r="K4345" t="s">
        <v>1809</v>
      </c>
      <c r="L4345" t="str">
        <f>HYPERLINK("https://business-monitor.ch/de/companies/1210296-d-martin-holding-ag?utm_source=oberaargau","PROFIL ANSEHEN")</f>
        <v>PROFIL ANSEHEN</v>
      </c>
    </row>
    <row r="4346" spans="1:12" x14ac:dyDescent="0.2">
      <c r="A4346" t="s">
        <v>9200</v>
      </c>
      <c r="B4346" t="s">
        <v>12409</v>
      </c>
      <c r="C4346" t="s">
        <v>13</v>
      </c>
      <c r="E4346" t="s">
        <v>9012</v>
      </c>
      <c r="F4346">
        <v>4900</v>
      </c>
      <c r="G4346" t="s">
        <v>41</v>
      </c>
      <c r="H4346" t="s">
        <v>16</v>
      </c>
      <c r="I4346" t="s">
        <v>1296</v>
      </c>
      <c r="J4346" t="s">
        <v>1297</v>
      </c>
      <c r="K4346" t="s">
        <v>1809</v>
      </c>
      <c r="L4346" t="str">
        <f>HYPERLINK("https://business-monitor.ch/de/companies/151441-pixtwo-ag?utm_source=oberaargau","PROFIL ANSEHEN")</f>
        <v>PROFIL ANSEHEN</v>
      </c>
    </row>
    <row r="4347" spans="1:12" x14ac:dyDescent="0.2">
      <c r="A4347" t="s">
        <v>11376</v>
      </c>
      <c r="B4347" t="s">
        <v>11377</v>
      </c>
      <c r="C4347" t="s">
        <v>202</v>
      </c>
      <c r="E4347" t="s">
        <v>6601</v>
      </c>
      <c r="F4347">
        <v>4537</v>
      </c>
      <c r="G4347" t="s">
        <v>113</v>
      </c>
      <c r="H4347" t="s">
        <v>16</v>
      </c>
      <c r="I4347" t="s">
        <v>781</v>
      </c>
      <c r="J4347" t="s">
        <v>782</v>
      </c>
      <c r="K4347" t="s">
        <v>1809</v>
      </c>
      <c r="L4347" t="str">
        <f>HYPERLINK("https://business-monitor.ch/de/companies/1137356-connect-tech-gmbh?utm_source=oberaargau","PROFIL ANSEHEN")</f>
        <v>PROFIL ANSEHEN</v>
      </c>
    </row>
    <row r="4348" spans="1:12" x14ac:dyDescent="0.2">
      <c r="A4348" t="s">
        <v>12341</v>
      </c>
      <c r="B4348" t="s">
        <v>12342</v>
      </c>
      <c r="C4348" t="s">
        <v>202</v>
      </c>
      <c r="E4348" t="s">
        <v>12343</v>
      </c>
      <c r="F4348">
        <v>4704</v>
      </c>
      <c r="G4348" t="s">
        <v>221</v>
      </c>
      <c r="H4348" t="s">
        <v>16</v>
      </c>
      <c r="I4348" t="s">
        <v>1852</v>
      </c>
      <c r="J4348" t="s">
        <v>1853</v>
      </c>
      <c r="K4348" t="s">
        <v>1809</v>
      </c>
      <c r="L4348" t="str">
        <f>HYPERLINK("https://business-monitor.ch/de/companies/1191570-mastropietro-bau-gmbh?utm_source=oberaargau","PROFIL ANSEHEN")</f>
        <v>PROFIL ANSEHEN</v>
      </c>
    </row>
    <row r="4349" spans="1:12" x14ac:dyDescent="0.2">
      <c r="A4349" t="s">
        <v>12498</v>
      </c>
      <c r="B4349" t="s">
        <v>12499</v>
      </c>
      <c r="C4349" t="s">
        <v>1812</v>
      </c>
      <c r="E4349" t="s">
        <v>8185</v>
      </c>
      <c r="F4349">
        <v>3380</v>
      </c>
      <c r="G4349" t="s">
        <v>29</v>
      </c>
      <c r="H4349" t="s">
        <v>16</v>
      </c>
      <c r="I4349" t="s">
        <v>1835</v>
      </c>
      <c r="J4349" t="s">
        <v>1836</v>
      </c>
      <c r="K4349" t="s">
        <v>1809</v>
      </c>
      <c r="L4349" t="str">
        <f>HYPERLINK("https://business-monitor.ch/de/companies/1210355-cleaning-management-garcia-chacon?utm_source=oberaargau","PROFIL ANSEHEN")</f>
        <v>PROFIL ANSEHEN</v>
      </c>
    </row>
    <row r="4350" spans="1:12" x14ac:dyDescent="0.2">
      <c r="A4350" t="s">
        <v>14282</v>
      </c>
      <c r="B4350" t="s">
        <v>14283</v>
      </c>
      <c r="C4350" t="s">
        <v>202</v>
      </c>
      <c r="E4350" t="s">
        <v>4088</v>
      </c>
      <c r="F4350">
        <v>3380</v>
      </c>
      <c r="G4350" t="s">
        <v>29</v>
      </c>
      <c r="H4350" t="s">
        <v>16</v>
      </c>
      <c r="I4350" t="s">
        <v>2062</v>
      </c>
      <c r="J4350" t="s">
        <v>2063</v>
      </c>
      <c r="K4350" t="s">
        <v>1809</v>
      </c>
      <c r="L4350" t="str">
        <f>HYPERLINK("https://business-monitor.ch/de/companies/1283816-marcel-friedli-retail-gmbh?utm_source=oberaargau","PROFIL ANSEHEN")</f>
        <v>PROFIL ANSEHEN</v>
      </c>
    </row>
    <row r="4351" spans="1:12" x14ac:dyDescent="0.2">
      <c r="A4351" t="s">
        <v>4614</v>
      </c>
      <c r="B4351" t="s">
        <v>4615</v>
      </c>
      <c r="C4351" t="s">
        <v>1812</v>
      </c>
      <c r="E4351" t="s">
        <v>3994</v>
      </c>
      <c r="F4351">
        <v>3380</v>
      </c>
      <c r="G4351" t="s">
        <v>3483</v>
      </c>
      <c r="H4351" t="s">
        <v>16</v>
      </c>
      <c r="I4351" t="s">
        <v>1835</v>
      </c>
      <c r="J4351" t="s">
        <v>1836</v>
      </c>
      <c r="K4351" t="s">
        <v>1809</v>
      </c>
      <c r="L4351" t="str">
        <f>HYPERLINK("https://business-monitor.ch/de/companies/636205-glas-und-gebaeudeservice-duering?utm_source=oberaargau","PROFIL ANSEHEN")</f>
        <v>PROFIL ANSEHEN</v>
      </c>
    </row>
    <row r="4352" spans="1:12" x14ac:dyDescent="0.2">
      <c r="A4352" t="s">
        <v>10983</v>
      </c>
      <c r="B4352" t="s">
        <v>10984</v>
      </c>
      <c r="C4352" t="s">
        <v>202</v>
      </c>
      <c r="E4352" t="s">
        <v>6013</v>
      </c>
      <c r="F4352">
        <v>4704</v>
      </c>
      <c r="G4352" t="s">
        <v>221</v>
      </c>
      <c r="H4352" t="s">
        <v>16</v>
      </c>
      <c r="I4352" t="s">
        <v>551</v>
      </c>
      <c r="J4352" t="s">
        <v>552</v>
      </c>
      <c r="K4352" t="s">
        <v>1809</v>
      </c>
      <c r="L4352" t="str">
        <f>HYPERLINK("https://business-monitor.ch/de/companies/104845-waefler-consulting-gmbh?utm_source=oberaargau","PROFIL ANSEHEN")</f>
        <v>PROFIL ANSEHEN</v>
      </c>
    </row>
    <row r="4353" spans="1:12" x14ac:dyDescent="0.2">
      <c r="A4353" t="s">
        <v>7520</v>
      </c>
      <c r="B4353" t="s">
        <v>7521</v>
      </c>
      <c r="C4353" t="s">
        <v>202</v>
      </c>
      <c r="D4353" t="s">
        <v>7522</v>
      </c>
      <c r="E4353" t="s">
        <v>7523</v>
      </c>
      <c r="F4353">
        <v>4917</v>
      </c>
      <c r="G4353" t="s">
        <v>2848</v>
      </c>
      <c r="H4353" t="s">
        <v>16</v>
      </c>
      <c r="I4353" t="s">
        <v>433</v>
      </c>
      <c r="J4353" t="s">
        <v>434</v>
      </c>
      <c r="K4353" t="s">
        <v>1809</v>
      </c>
      <c r="L4353" t="str">
        <f>HYPERLINK("https://business-monitor.ch/de/companies/706268-hutzli-management-gmbh?utm_source=oberaargau","PROFIL ANSEHEN")</f>
        <v>PROFIL ANSEHEN</v>
      </c>
    </row>
    <row r="4354" spans="1:12" x14ac:dyDescent="0.2">
      <c r="A4354" t="s">
        <v>3782</v>
      </c>
      <c r="B4354" t="s">
        <v>3783</v>
      </c>
      <c r="C4354" t="s">
        <v>13</v>
      </c>
      <c r="D4354" t="s">
        <v>3784</v>
      </c>
      <c r="E4354" t="s">
        <v>3785</v>
      </c>
      <c r="F4354">
        <v>4900</v>
      </c>
      <c r="G4354" t="s">
        <v>41</v>
      </c>
      <c r="H4354" t="s">
        <v>16</v>
      </c>
      <c r="I4354" t="s">
        <v>186</v>
      </c>
      <c r="J4354" t="s">
        <v>187</v>
      </c>
      <c r="K4354" t="s">
        <v>1809</v>
      </c>
      <c r="L4354" t="str">
        <f>HYPERLINK("https://business-monitor.ch/de/companies/989872-aja-holding-ag?utm_source=oberaargau","PROFIL ANSEHEN")</f>
        <v>PROFIL ANSEHEN</v>
      </c>
    </row>
    <row r="4355" spans="1:12" x14ac:dyDescent="0.2">
      <c r="A4355" t="s">
        <v>2205</v>
      </c>
      <c r="B4355" t="s">
        <v>2206</v>
      </c>
      <c r="C4355" t="s">
        <v>202</v>
      </c>
      <c r="E4355" t="s">
        <v>2207</v>
      </c>
      <c r="F4355">
        <v>3362</v>
      </c>
      <c r="G4355" t="s">
        <v>47</v>
      </c>
      <c r="H4355" t="s">
        <v>16</v>
      </c>
      <c r="I4355" t="s">
        <v>1855</v>
      </c>
      <c r="J4355" t="s">
        <v>1856</v>
      </c>
      <c r="K4355" t="s">
        <v>1809</v>
      </c>
      <c r="L4355" t="str">
        <f>HYPERLINK("https://business-monitor.ch/de/companies/1069786-due-mani-gmbh?utm_source=oberaargau","PROFIL ANSEHEN")</f>
        <v>PROFIL ANSEHEN</v>
      </c>
    </row>
    <row r="4356" spans="1:12" x14ac:dyDescent="0.2">
      <c r="A4356" t="s">
        <v>2682</v>
      </c>
      <c r="B4356" t="s">
        <v>2683</v>
      </c>
      <c r="C4356" t="s">
        <v>202</v>
      </c>
      <c r="E4356" t="s">
        <v>2684</v>
      </c>
      <c r="F4356">
        <v>3360</v>
      </c>
      <c r="G4356" t="s">
        <v>35</v>
      </c>
      <c r="H4356" t="s">
        <v>16</v>
      </c>
      <c r="I4356" t="s">
        <v>629</v>
      </c>
      <c r="J4356" t="s">
        <v>630</v>
      </c>
      <c r="K4356" t="s">
        <v>1809</v>
      </c>
      <c r="L4356" t="str">
        <f>HYPERLINK("https://business-monitor.ch/de/companies/472805-edimuva-gmbh?utm_source=oberaargau","PROFIL ANSEHEN")</f>
        <v>PROFIL ANSEHEN</v>
      </c>
    </row>
    <row r="4357" spans="1:12" x14ac:dyDescent="0.2">
      <c r="A4357" t="s">
        <v>11107</v>
      </c>
      <c r="B4357" t="s">
        <v>11108</v>
      </c>
      <c r="C4357" t="s">
        <v>1812</v>
      </c>
      <c r="E4357" t="s">
        <v>11109</v>
      </c>
      <c r="F4357">
        <v>3360</v>
      </c>
      <c r="G4357" t="s">
        <v>35</v>
      </c>
      <c r="H4357" t="s">
        <v>16</v>
      </c>
      <c r="I4357" t="s">
        <v>7829</v>
      </c>
      <c r="J4357" t="s">
        <v>7830</v>
      </c>
      <c r="K4357" t="s">
        <v>1809</v>
      </c>
      <c r="L4357" t="str">
        <f>HYPERLINK("https://business-monitor.ch/de/companies/1120197-marianne-biedermann-buerinne-choscht?utm_source=oberaargau","PROFIL ANSEHEN")</f>
        <v>PROFIL ANSEHEN</v>
      </c>
    </row>
    <row r="4358" spans="1:12" x14ac:dyDescent="0.2">
      <c r="A4358" t="s">
        <v>11150</v>
      </c>
      <c r="B4358" t="s">
        <v>11151</v>
      </c>
      <c r="C4358" t="s">
        <v>202</v>
      </c>
      <c r="E4358" t="s">
        <v>11152</v>
      </c>
      <c r="F4358">
        <v>4938</v>
      </c>
      <c r="G4358" t="s">
        <v>618</v>
      </c>
      <c r="H4358" t="s">
        <v>16</v>
      </c>
      <c r="I4358" t="s">
        <v>642</v>
      </c>
      <c r="J4358" t="s">
        <v>643</v>
      </c>
      <c r="K4358" t="s">
        <v>1809</v>
      </c>
      <c r="L4358" t="str">
        <f>HYPERLINK("https://business-monitor.ch/de/companies/1116101-autogarage-michel-gmbh?utm_source=oberaargau","PROFIL ANSEHEN")</f>
        <v>PROFIL ANSEHEN</v>
      </c>
    </row>
    <row r="4359" spans="1:12" x14ac:dyDescent="0.2">
      <c r="A4359" t="s">
        <v>8532</v>
      </c>
      <c r="B4359" t="s">
        <v>8533</v>
      </c>
      <c r="C4359" t="s">
        <v>13</v>
      </c>
      <c r="D4359" t="s">
        <v>4974</v>
      </c>
      <c r="E4359" t="s">
        <v>3372</v>
      </c>
      <c r="F4359">
        <v>4900</v>
      </c>
      <c r="G4359" t="s">
        <v>41</v>
      </c>
      <c r="H4359" t="s">
        <v>16</v>
      </c>
      <c r="I4359" t="s">
        <v>186</v>
      </c>
      <c r="J4359" t="s">
        <v>187</v>
      </c>
      <c r="K4359" t="s">
        <v>1809</v>
      </c>
      <c r="L4359" t="str">
        <f>HYPERLINK("https://business-monitor.ch/de/companies/83024-syphu-ag?utm_source=oberaargau","PROFIL ANSEHEN")</f>
        <v>PROFIL ANSEHEN</v>
      </c>
    </row>
    <row r="4360" spans="1:12" x14ac:dyDescent="0.2">
      <c r="A4360" t="s">
        <v>12868</v>
      </c>
      <c r="B4360" t="s">
        <v>12869</v>
      </c>
      <c r="C4360" t="s">
        <v>1812</v>
      </c>
      <c r="E4360" t="s">
        <v>12870</v>
      </c>
      <c r="F4360">
        <v>4932</v>
      </c>
      <c r="G4360" t="s">
        <v>325</v>
      </c>
      <c r="H4360" t="s">
        <v>16</v>
      </c>
      <c r="I4360" t="s">
        <v>1171</v>
      </c>
      <c r="J4360" t="s">
        <v>1172</v>
      </c>
      <c r="K4360" t="s">
        <v>1809</v>
      </c>
      <c r="L4360" t="str">
        <f>HYPERLINK("https://business-monitor.ch/de/companies/1215930-gs-dienstleistungen-gubser?utm_source=oberaargau","PROFIL ANSEHEN")</f>
        <v>PROFIL ANSEHEN</v>
      </c>
    </row>
    <row r="4361" spans="1:12" x14ac:dyDescent="0.2">
      <c r="A4361" t="s">
        <v>11763</v>
      </c>
      <c r="B4361" t="s">
        <v>11764</v>
      </c>
      <c r="C4361" t="s">
        <v>1812</v>
      </c>
      <c r="E4361" t="s">
        <v>11765</v>
      </c>
      <c r="F4361">
        <v>3362</v>
      </c>
      <c r="G4361" t="s">
        <v>47</v>
      </c>
      <c r="H4361" t="s">
        <v>16</v>
      </c>
      <c r="I4361" t="s">
        <v>2748</v>
      </c>
      <c r="J4361" t="s">
        <v>2749</v>
      </c>
      <c r="K4361" t="s">
        <v>1809</v>
      </c>
      <c r="L4361" t="str">
        <f>HYPERLINK("https://business-monitor.ch/de/companies/1159690-lifeadvice-andrea-lehmann-szabo?utm_source=oberaargau","PROFIL ANSEHEN")</f>
        <v>PROFIL ANSEHEN</v>
      </c>
    </row>
    <row r="4362" spans="1:12" x14ac:dyDescent="0.2">
      <c r="A4362" t="s">
        <v>10788</v>
      </c>
      <c r="B4362" t="s">
        <v>10789</v>
      </c>
      <c r="C4362" t="s">
        <v>202</v>
      </c>
      <c r="E4362" t="s">
        <v>10790</v>
      </c>
      <c r="F4362">
        <v>4900</v>
      </c>
      <c r="G4362" t="s">
        <v>41</v>
      </c>
      <c r="H4362" t="s">
        <v>16</v>
      </c>
      <c r="I4362" t="s">
        <v>824</v>
      </c>
      <c r="J4362" t="s">
        <v>825</v>
      </c>
      <c r="K4362" t="s">
        <v>1809</v>
      </c>
      <c r="L4362" t="str">
        <f>HYPERLINK("https://business-monitor.ch/de/companies/1111636-root-food-gmbh?utm_source=oberaargau","PROFIL ANSEHEN")</f>
        <v>PROFIL ANSEHEN</v>
      </c>
    </row>
    <row r="4363" spans="1:12" x14ac:dyDescent="0.2">
      <c r="A4363" t="s">
        <v>9447</v>
      </c>
      <c r="B4363" t="s">
        <v>9448</v>
      </c>
      <c r="C4363" t="s">
        <v>13</v>
      </c>
      <c r="E4363" t="s">
        <v>1084</v>
      </c>
      <c r="F4363">
        <v>4900</v>
      </c>
      <c r="G4363" t="s">
        <v>41</v>
      </c>
      <c r="H4363" t="s">
        <v>16</v>
      </c>
      <c r="I4363" t="s">
        <v>935</v>
      </c>
      <c r="J4363" t="s">
        <v>936</v>
      </c>
      <c r="K4363" t="s">
        <v>1809</v>
      </c>
      <c r="L4363" t="str">
        <f>HYPERLINK("https://business-monitor.ch/de/companies/5620-indigo-immobilien-ag?utm_source=oberaargau","PROFIL ANSEHEN")</f>
        <v>PROFIL ANSEHEN</v>
      </c>
    </row>
    <row r="4364" spans="1:12" x14ac:dyDescent="0.2">
      <c r="A4364" t="s">
        <v>12689</v>
      </c>
      <c r="B4364" t="s">
        <v>12690</v>
      </c>
      <c r="C4364" t="s">
        <v>1812</v>
      </c>
      <c r="E4364" t="s">
        <v>12691</v>
      </c>
      <c r="F4364">
        <v>4704</v>
      </c>
      <c r="G4364" t="s">
        <v>221</v>
      </c>
      <c r="H4364" t="s">
        <v>16</v>
      </c>
      <c r="I4364" t="s">
        <v>475</v>
      </c>
      <c r="J4364" t="s">
        <v>476</v>
      </c>
      <c r="K4364" t="s">
        <v>1809</v>
      </c>
      <c r="L4364" t="str">
        <f>HYPERLINK("https://business-monitor.ch/de/companies/1129364-ats-kalkulation-gebaeudehuelle-planung-tom-salvisberg?utm_source=oberaargau","PROFIL ANSEHEN")</f>
        <v>PROFIL ANSEHEN</v>
      </c>
    </row>
    <row r="4365" spans="1:12" x14ac:dyDescent="0.2">
      <c r="A4365" t="s">
        <v>5905</v>
      </c>
      <c r="B4365" t="s">
        <v>5906</v>
      </c>
      <c r="C4365" t="s">
        <v>13</v>
      </c>
      <c r="E4365" t="s">
        <v>5907</v>
      </c>
      <c r="F4365">
        <v>4704</v>
      </c>
      <c r="G4365" t="s">
        <v>221</v>
      </c>
      <c r="H4365" t="s">
        <v>16</v>
      </c>
      <c r="I4365" t="s">
        <v>77</v>
      </c>
      <c r="J4365" t="s">
        <v>78</v>
      </c>
      <c r="K4365" t="s">
        <v>1809</v>
      </c>
      <c r="L4365" t="str">
        <f>HYPERLINK("https://business-monitor.ch/de/companies/230812-amira-line-ag?utm_source=oberaargau","PROFIL ANSEHEN")</f>
        <v>PROFIL ANSEHEN</v>
      </c>
    </row>
    <row r="4366" spans="1:12" x14ac:dyDescent="0.2">
      <c r="A4366" t="s">
        <v>4109</v>
      </c>
      <c r="B4366" t="s">
        <v>4110</v>
      </c>
      <c r="C4366" t="s">
        <v>202</v>
      </c>
      <c r="E4366" t="s">
        <v>4111</v>
      </c>
      <c r="F4366">
        <v>4537</v>
      </c>
      <c r="G4366" t="s">
        <v>113</v>
      </c>
      <c r="H4366" t="s">
        <v>16</v>
      </c>
      <c r="I4366" t="s">
        <v>642</v>
      </c>
      <c r="J4366" t="s">
        <v>643</v>
      </c>
      <c r="K4366" t="s">
        <v>1809</v>
      </c>
      <c r="L4366" t="str">
        <f>HYPERLINK("https://business-monitor.ch/de/companies/1034099-touring-garage-schwaegli-gmbh?utm_source=oberaargau","PROFIL ANSEHEN")</f>
        <v>PROFIL ANSEHEN</v>
      </c>
    </row>
    <row r="4367" spans="1:12" x14ac:dyDescent="0.2">
      <c r="A4367" t="s">
        <v>2090</v>
      </c>
      <c r="B4367" t="s">
        <v>2091</v>
      </c>
      <c r="C4367" t="s">
        <v>202</v>
      </c>
      <c r="D4367" t="s">
        <v>2092</v>
      </c>
      <c r="E4367" t="s">
        <v>2093</v>
      </c>
      <c r="F4367">
        <v>4900</v>
      </c>
      <c r="G4367" t="s">
        <v>41</v>
      </c>
      <c r="H4367" t="s">
        <v>16</v>
      </c>
      <c r="I4367" t="s">
        <v>955</v>
      </c>
      <c r="J4367" t="s">
        <v>956</v>
      </c>
      <c r="K4367" t="s">
        <v>1809</v>
      </c>
      <c r="L4367" t="str">
        <f>HYPERLINK("https://business-monitor.ch/de/companies/111731-pagani-und-partner-gmbh?utm_source=oberaargau","PROFIL ANSEHEN")</f>
        <v>PROFIL ANSEHEN</v>
      </c>
    </row>
    <row r="4368" spans="1:12" x14ac:dyDescent="0.2">
      <c r="A4368" t="s">
        <v>6189</v>
      </c>
      <c r="B4368" t="s">
        <v>6190</v>
      </c>
      <c r="C4368" t="s">
        <v>1812</v>
      </c>
      <c r="E4368" t="s">
        <v>6191</v>
      </c>
      <c r="F4368">
        <v>3373</v>
      </c>
      <c r="G4368" t="s">
        <v>1640</v>
      </c>
      <c r="H4368" t="s">
        <v>16</v>
      </c>
      <c r="I4368" t="s">
        <v>642</v>
      </c>
      <c r="J4368" t="s">
        <v>643</v>
      </c>
      <c r="K4368" t="s">
        <v>1809</v>
      </c>
      <c r="L4368" t="str">
        <f>HYPERLINK("https://business-monitor.ch/de/companies/379592-garage-r-b-grossen-inhaber-rene-grossen?utm_source=oberaargau","PROFIL ANSEHEN")</f>
        <v>PROFIL ANSEHEN</v>
      </c>
    </row>
    <row r="4369" spans="1:12" x14ac:dyDescent="0.2">
      <c r="A4369" t="s">
        <v>3146</v>
      </c>
      <c r="B4369" t="s">
        <v>3147</v>
      </c>
      <c r="C4369" t="s">
        <v>1812</v>
      </c>
      <c r="E4369" t="s">
        <v>3148</v>
      </c>
      <c r="F4369">
        <v>3367</v>
      </c>
      <c r="G4369" t="s">
        <v>455</v>
      </c>
      <c r="H4369" t="s">
        <v>16</v>
      </c>
      <c r="I4369" t="s">
        <v>679</v>
      </c>
      <c r="J4369" t="s">
        <v>680</v>
      </c>
      <c r="K4369" t="s">
        <v>1809</v>
      </c>
      <c r="L4369" t="str">
        <f>HYPERLINK("https://business-monitor.ch/de/companies/303212-urs-zeugin-der-handwerker?utm_source=oberaargau","PROFIL ANSEHEN")</f>
        <v>PROFIL ANSEHEN</v>
      </c>
    </row>
    <row r="4370" spans="1:12" x14ac:dyDescent="0.2">
      <c r="A4370" t="s">
        <v>3408</v>
      </c>
      <c r="B4370" t="s">
        <v>3409</v>
      </c>
      <c r="C4370" t="s">
        <v>202</v>
      </c>
      <c r="E4370" t="s">
        <v>3410</v>
      </c>
      <c r="F4370">
        <v>4932</v>
      </c>
      <c r="G4370" t="s">
        <v>325</v>
      </c>
      <c r="H4370" t="s">
        <v>16</v>
      </c>
      <c r="I4370" t="s">
        <v>157</v>
      </c>
      <c r="J4370" t="s">
        <v>158</v>
      </c>
      <c r="K4370" t="s">
        <v>1809</v>
      </c>
      <c r="L4370" t="str">
        <f>HYPERLINK("https://business-monitor.ch/de/companies/515331-luder-immobilien-gmbh?utm_source=oberaargau","PROFIL ANSEHEN")</f>
        <v>PROFIL ANSEHEN</v>
      </c>
    </row>
    <row r="4371" spans="1:12" x14ac:dyDescent="0.2">
      <c r="A4371" t="s">
        <v>1321</v>
      </c>
      <c r="B4371" t="s">
        <v>1322</v>
      </c>
      <c r="C4371" t="s">
        <v>13</v>
      </c>
      <c r="E4371" t="s">
        <v>1323</v>
      </c>
      <c r="F4371">
        <v>4922</v>
      </c>
      <c r="G4371" t="s">
        <v>99</v>
      </c>
      <c r="H4371" t="s">
        <v>16</v>
      </c>
      <c r="I4371" t="s">
        <v>1324</v>
      </c>
      <c r="J4371" t="s">
        <v>1325</v>
      </c>
      <c r="K4371" t="s">
        <v>1809</v>
      </c>
      <c r="L4371" t="str">
        <f>HYPERLINK("https://business-monitor.ch/de/companies/327604-oester-kuechen-ag?utm_source=oberaargau","PROFIL ANSEHEN")</f>
        <v>PROFIL ANSEHEN</v>
      </c>
    </row>
    <row r="4372" spans="1:12" x14ac:dyDescent="0.2">
      <c r="A4372" t="s">
        <v>4831</v>
      </c>
      <c r="B4372" t="s">
        <v>4832</v>
      </c>
      <c r="C4372" t="s">
        <v>202</v>
      </c>
      <c r="E4372" t="s">
        <v>4833</v>
      </c>
      <c r="F4372">
        <v>3360</v>
      </c>
      <c r="G4372" t="s">
        <v>35</v>
      </c>
      <c r="H4372" t="s">
        <v>16</v>
      </c>
      <c r="I4372" t="s">
        <v>2842</v>
      </c>
      <c r="J4372" t="s">
        <v>2843</v>
      </c>
      <c r="K4372" t="s">
        <v>1809</v>
      </c>
      <c r="L4372" t="str">
        <f>HYPERLINK("https://business-monitor.ch/de/companies/545417-salzmann-it-gmbh?utm_source=oberaargau","PROFIL ANSEHEN")</f>
        <v>PROFIL ANSEHEN</v>
      </c>
    </row>
    <row r="4373" spans="1:12" x14ac:dyDescent="0.2">
      <c r="A4373" t="s">
        <v>9296</v>
      </c>
      <c r="B4373" t="s">
        <v>9297</v>
      </c>
      <c r="C4373" t="s">
        <v>13</v>
      </c>
      <c r="E4373" t="s">
        <v>9298</v>
      </c>
      <c r="F4373">
        <v>4950</v>
      </c>
      <c r="G4373" t="s">
        <v>15</v>
      </c>
      <c r="H4373" t="s">
        <v>16</v>
      </c>
      <c r="I4373" t="s">
        <v>514</v>
      </c>
      <c r="J4373" t="s">
        <v>515</v>
      </c>
      <c r="K4373" t="s">
        <v>1809</v>
      </c>
      <c r="L4373" t="str">
        <f>HYPERLINK("https://business-monitor.ch/de/companies/98463-luedi-handels-ag-huttwil?utm_source=oberaargau","PROFIL ANSEHEN")</f>
        <v>PROFIL ANSEHEN</v>
      </c>
    </row>
    <row r="4374" spans="1:12" x14ac:dyDescent="0.2">
      <c r="A4374" t="s">
        <v>9887</v>
      </c>
      <c r="B4374" t="s">
        <v>9888</v>
      </c>
      <c r="C4374" t="s">
        <v>202</v>
      </c>
      <c r="E4374" t="s">
        <v>9889</v>
      </c>
      <c r="F4374">
        <v>4935</v>
      </c>
      <c r="G4374" t="s">
        <v>443</v>
      </c>
      <c r="H4374" t="s">
        <v>16</v>
      </c>
      <c r="I4374" t="s">
        <v>4641</v>
      </c>
      <c r="J4374" t="s">
        <v>4642</v>
      </c>
      <c r="K4374" t="s">
        <v>1809</v>
      </c>
      <c r="L4374" t="str">
        <f>HYPERLINK("https://business-monitor.ch/de/companies/973286-sosana-gmbh?utm_source=oberaargau","PROFIL ANSEHEN")</f>
        <v>PROFIL ANSEHEN</v>
      </c>
    </row>
    <row r="4375" spans="1:12" x14ac:dyDescent="0.2">
      <c r="A4375" t="s">
        <v>5344</v>
      </c>
      <c r="B4375" t="s">
        <v>5345</v>
      </c>
      <c r="C4375" t="s">
        <v>13</v>
      </c>
      <c r="E4375" t="s">
        <v>5346</v>
      </c>
      <c r="F4375">
        <v>4912</v>
      </c>
      <c r="G4375" t="s">
        <v>64</v>
      </c>
      <c r="H4375" t="s">
        <v>16</v>
      </c>
      <c r="I4375" t="s">
        <v>551</v>
      </c>
      <c r="J4375" t="s">
        <v>552</v>
      </c>
      <c r="K4375" t="s">
        <v>1809</v>
      </c>
      <c r="L4375" t="str">
        <f>HYPERLINK("https://business-monitor.ch/de/companies/378446-luhacon-ag?utm_source=oberaargau","PROFIL ANSEHEN")</f>
        <v>PROFIL ANSEHEN</v>
      </c>
    </row>
    <row r="4376" spans="1:12" x14ac:dyDescent="0.2">
      <c r="A4376" t="s">
        <v>3056</v>
      </c>
      <c r="B4376" t="s">
        <v>3057</v>
      </c>
      <c r="C4376" t="s">
        <v>13</v>
      </c>
      <c r="E4376" t="s">
        <v>3058</v>
      </c>
      <c r="F4376">
        <v>4900</v>
      </c>
      <c r="G4376" t="s">
        <v>41</v>
      </c>
      <c r="H4376" t="s">
        <v>16</v>
      </c>
      <c r="I4376" t="s">
        <v>1841</v>
      </c>
      <c r="J4376" t="s">
        <v>1842</v>
      </c>
      <c r="K4376" t="s">
        <v>1809</v>
      </c>
      <c r="L4376" t="str">
        <f>HYPERLINK("https://business-monitor.ch/de/companies/343568-yin-yang-medi-ag?utm_source=oberaargau","PROFIL ANSEHEN")</f>
        <v>PROFIL ANSEHEN</v>
      </c>
    </row>
    <row r="4377" spans="1:12" x14ac:dyDescent="0.2">
      <c r="A4377" t="s">
        <v>8964</v>
      </c>
      <c r="B4377" t="s">
        <v>8965</v>
      </c>
      <c r="C4377" t="s">
        <v>1922</v>
      </c>
      <c r="D4377" t="s">
        <v>2300</v>
      </c>
      <c r="E4377" t="s">
        <v>2301</v>
      </c>
      <c r="F4377">
        <v>4914</v>
      </c>
      <c r="G4377" t="s">
        <v>105</v>
      </c>
      <c r="H4377" t="s">
        <v>16</v>
      </c>
      <c r="I4377" t="s">
        <v>2116</v>
      </c>
      <c r="J4377" t="s">
        <v>2117</v>
      </c>
      <c r="K4377" t="s">
        <v>1809</v>
      </c>
      <c r="L4377" t="str">
        <f>HYPERLINK("https://business-monitor.ch/de/companies/254655-personalfuersorgestiftung-der-firma-gugelmann-cie-ag?utm_source=oberaargau","PROFIL ANSEHEN")</f>
        <v>PROFIL ANSEHEN</v>
      </c>
    </row>
    <row r="4378" spans="1:12" x14ac:dyDescent="0.2">
      <c r="A4378" t="s">
        <v>4290</v>
      </c>
      <c r="B4378" t="s">
        <v>4291</v>
      </c>
      <c r="C4378" t="s">
        <v>13</v>
      </c>
      <c r="E4378" t="s">
        <v>2495</v>
      </c>
      <c r="F4378">
        <v>3360</v>
      </c>
      <c r="G4378" t="s">
        <v>35</v>
      </c>
      <c r="H4378" t="s">
        <v>16</v>
      </c>
      <c r="I4378" t="s">
        <v>4247</v>
      </c>
      <c r="J4378" t="s">
        <v>4248</v>
      </c>
      <c r="K4378" t="s">
        <v>1809</v>
      </c>
      <c r="L4378" t="str">
        <f>HYPERLINK("https://business-monitor.ch/de/companies/976719-gynaekologie-oberaargau-ag?utm_source=oberaargau","PROFIL ANSEHEN")</f>
        <v>PROFIL ANSEHEN</v>
      </c>
    </row>
    <row r="4379" spans="1:12" x14ac:dyDescent="0.2">
      <c r="A4379" t="s">
        <v>9455</v>
      </c>
      <c r="B4379" t="s">
        <v>9456</v>
      </c>
      <c r="C4379" t="s">
        <v>1922</v>
      </c>
      <c r="E4379" t="s">
        <v>14667</v>
      </c>
      <c r="F4379">
        <v>4924</v>
      </c>
      <c r="G4379" t="s">
        <v>3727</v>
      </c>
      <c r="H4379" t="s">
        <v>16</v>
      </c>
      <c r="I4379" t="s">
        <v>5919</v>
      </c>
      <c r="J4379" t="s">
        <v>5920</v>
      </c>
      <c r="K4379" t="s">
        <v>1809</v>
      </c>
      <c r="L4379" t="str">
        <f>HYPERLINK("https://business-monitor.ch/de/companies/105745-krankenpflegestiftung-obersteckholz?utm_source=oberaargau","PROFIL ANSEHEN")</f>
        <v>PROFIL ANSEHEN</v>
      </c>
    </row>
    <row r="4380" spans="1:12" x14ac:dyDescent="0.2">
      <c r="A4380" t="s">
        <v>11574</v>
      </c>
      <c r="B4380" t="s">
        <v>11575</v>
      </c>
      <c r="C4380" t="s">
        <v>13</v>
      </c>
      <c r="E4380" t="s">
        <v>924</v>
      </c>
      <c r="F4380">
        <v>4950</v>
      </c>
      <c r="G4380" t="s">
        <v>15</v>
      </c>
      <c r="H4380" t="s">
        <v>16</v>
      </c>
      <c r="I4380" t="s">
        <v>420</v>
      </c>
      <c r="J4380" t="s">
        <v>421</v>
      </c>
      <c r="K4380" t="s">
        <v>1809</v>
      </c>
      <c r="L4380" t="str">
        <f>HYPERLINK("https://business-monitor.ch/de/companies/1145225-trivedis-ag?utm_source=oberaargau","PROFIL ANSEHEN")</f>
        <v>PROFIL ANSEHEN</v>
      </c>
    </row>
    <row r="4381" spans="1:12" x14ac:dyDescent="0.2">
      <c r="A4381" t="s">
        <v>8595</v>
      </c>
      <c r="B4381" t="s">
        <v>8596</v>
      </c>
      <c r="C4381" t="s">
        <v>1922</v>
      </c>
      <c r="D4381" t="s">
        <v>8485</v>
      </c>
      <c r="E4381" t="s">
        <v>8486</v>
      </c>
      <c r="F4381">
        <v>4950</v>
      </c>
      <c r="G4381" t="s">
        <v>15</v>
      </c>
      <c r="H4381" t="s">
        <v>16</v>
      </c>
      <c r="I4381" t="s">
        <v>640</v>
      </c>
      <c r="J4381" t="s">
        <v>641</v>
      </c>
      <c r="K4381" t="s">
        <v>1809</v>
      </c>
      <c r="L4381" t="str">
        <f>HYPERLINK("https://business-monitor.ch/de/companies/474339-stiftung-uruma?utm_source=oberaargau","PROFIL ANSEHEN")</f>
        <v>PROFIL ANSEHEN</v>
      </c>
    </row>
    <row r="4382" spans="1:12" x14ac:dyDescent="0.2">
      <c r="A4382" t="s">
        <v>4112</v>
      </c>
      <c r="B4382" t="s">
        <v>4113</v>
      </c>
      <c r="C4382" t="s">
        <v>13</v>
      </c>
      <c r="E4382" t="s">
        <v>4114</v>
      </c>
      <c r="F4382">
        <v>4537</v>
      </c>
      <c r="G4382" t="s">
        <v>113</v>
      </c>
      <c r="H4382" t="s">
        <v>16</v>
      </c>
      <c r="I4382" t="s">
        <v>1446</v>
      </c>
      <c r="J4382" t="s">
        <v>1447</v>
      </c>
      <c r="K4382" t="s">
        <v>1809</v>
      </c>
      <c r="L4382" t="str">
        <f>HYPERLINK("https://business-monitor.ch/de/companies/1034036-a-kohl-ag?utm_source=oberaargau","PROFIL ANSEHEN")</f>
        <v>PROFIL ANSEHEN</v>
      </c>
    </row>
    <row r="4383" spans="1:12" x14ac:dyDescent="0.2">
      <c r="A4383" t="s">
        <v>6618</v>
      </c>
      <c r="B4383" t="s">
        <v>6619</v>
      </c>
      <c r="C4383" t="s">
        <v>13</v>
      </c>
      <c r="E4383" t="s">
        <v>6620</v>
      </c>
      <c r="F4383">
        <v>4912</v>
      </c>
      <c r="G4383" t="s">
        <v>64</v>
      </c>
      <c r="H4383" t="s">
        <v>16</v>
      </c>
      <c r="I4383" t="s">
        <v>331</v>
      </c>
      <c r="J4383" t="s">
        <v>332</v>
      </c>
      <c r="K4383" t="s">
        <v>1809</v>
      </c>
      <c r="L4383" t="str">
        <f>HYPERLINK("https://business-monitor.ch/de/companies/199073-ebo-mikromechanik-ag?utm_source=oberaargau","PROFIL ANSEHEN")</f>
        <v>PROFIL ANSEHEN</v>
      </c>
    </row>
    <row r="4384" spans="1:12" x14ac:dyDescent="0.2">
      <c r="A4384" t="s">
        <v>11231</v>
      </c>
      <c r="B4384" t="s">
        <v>11232</v>
      </c>
      <c r="C4384" t="s">
        <v>13</v>
      </c>
      <c r="E4384" t="s">
        <v>11233</v>
      </c>
      <c r="F4384">
        <v>4537</v>
      </c>
      <c r="G4384" t="s">
        <v>113</v>
      </c>
      <c r="H4384" t="s">
        <v>16</v>
      </c>
      <c r="I4384" t="s">
        <v>433</v>
      </c>
      <c r="J4384" t="s">
        <v>434</v>
      </c>
      <c r="K4384" t="s">
        <v>1809</v>
      </c>
      <c r="L4384" t="str">
        <f>HYPERLINK("https://business-monitor.ch/de/companies/249305-tischkultur-ag?utm_source=oberaargau","PROFIL ANSEHEN")</f>
        <v>PROFIL ANSEHEN</v>
      </c>
    </row>
    <row r="4385" spans="1:12" x14ac:dyDescent="0.2">
      <c r="A4385" t="s">
        <v>5553</v>
      </c>
      <c r="B4385" t="s">
        <v>5554</v>
      </c>
      <c r="C4385" t="s">
        <v>13</v>
      </c>
      <c r="E4385" t="s">
        <v>5555</v>
      </c>
      <c r="F4385">
        <v>4704</v>
      </c>
      <c r="G4385" t="s">
        <v>221</v>
      </c>
      <c r="H4385" t="s">
        <v>16</v>
      </c>
      <c r="I4385" t="s">
        <v>2293</v>
      </c>
      <c r="J4385" t="s">
        <v>2294</v>
      </c>
      <c r="K4385" t="s">
        <v>1809</v>
      </c>
      <c r="L4385" t="str">
        <f>HYPERLINK("https://business-monitor.ch/de/companies/444592-petcenter-ch-ag?utm_source=oberaargau","PROFIL ANSEHEN")</f>
        <v>PROFIL ANSEHEN</v>
      </c>
    </row>
    <row r="4386" spans="1:12" x14ac:dyDescent="0.2">
      <c r="A4386" t="s">
        <v>9285</v>
      </c>
      <c r="B4386" t="s">
        <v>9286</v>
      </c>
      <c r="C4386" t="s">
        <v>1812</v>
      </c>
      <c r="E4386" t="s">
        <v>2568</v>
      </c>
      <c r="F4386">
        <v>4934</v>
      </c>
      <c r="G4386" t="s">
        <v>670</v>
      </c>
      <c r="H4386" t="s">
        <v>16</v>
      </c>
      <c r="I4386" t="s">
        <v>24</v>
      </c>
      <c r="J4386" t="s">
        <v>25</v>
      </c>
      <c r="K4386" t="s">
        <v>1809</v>
      </c>
      <c r="L4386" t="str">
        <f>HYPERLINK("https://business-monitor.ch/de/companies/105011-t-cad-m-hlobil?utm_source=oberaargau","PROFIL ANSEHEN")</f>
        <v>PROFIL ANSEHEN</v>
      </c>
    </row>
    <row r="4387" spans="1:12" x14ac:dyDescent="0.2">
      <c r="A4387" t="s">
        <v>2673</v>
      </c>
      <c r="B4387" t="s">
        <v>2674</v>
      </c>
      <c r="C4387" t="s">
        <v>13</v>
      </c>
      <c r="D4387" t="s">
        <v>2675</v>
      </c>
      <c r="E4387" t="s">
        <v>1200</v>
      </c>
      <c r="F4387">
        <v>4900</v>
      </c>
      <c r="G4387" t="s">
        <v>41</v>
      </c>
      <c r="H4387" t="s">
        <v>16</v>
      </c>
      <c r="I4387" t="s">
        <v>77</v>
      </c>
      <c r="J4387" t="s">
        <v>78</v>
      </c>
      <c r="K4387" t="s">
        <v>1809</v>
      </c>
      <c r="L4387" t="str">
        <f>HYPERLINK("https://business-monitor.ch/de/companies/94878-abf-ag?utm_source=oberaargau","PROFIL ANSEHEN")</f>
        <v>PROFIL ANSEHEN</v>
      </c>
    </row>
    <row r="4388" spans="1:12" x14ac:dyDescent="0.2">
      <c r="A4388" t="s">
        <v>13051</v>
      </c>
      <c r="B4388" t="s">
        <v>13052</v>
      </c>
      <c r="C4388" t="s">
        <v>202</v>
      </c>
      <c r="E4388" t="s">
        <v>13053</v>
      </c>
      <c r="F4388">
        <v>4938</v>
      </c>
      <c r="G4388" t="s">
        <v>618</v>
      </c>
      <c r="H4388" t="s">
        <v>16</v>
      </c>
      <c r="I4388" t="s">
        <v>7350</v>
      </c>
      <c r="J4388" t="s">
        <v>7351</v>
      </c>
      <c r="K4388" t="s">
        <v>1809</v>
      </c>
      <c r="L4388" t="str">
        <f>HYPERLINK("https://business-monitor.ch/de/companies/1234129-quickrun-gmbh?utm_source=oberaargau","PROFIL ANSEHEN")</f>
        <v>PROFIL ANSEHEN</v>
      </c>
    </row>
    <row r="4389" spans="1:12" x14ac:dyDescent="0.2">
      <c r="A4389" t="s">
        <v>1590</v>
      </c>
      <c r="B4389" t="s">
        <v>1591</v>
      </c>
      <c r="C4389" t="s">
        <v>13</v>
      </c>
      <c r="E4389" t="s">
        <v>1592</v>
      </c>
      <c r="F4389">
        <v>4536</v>
      </c>
      <c r="G4389" t="s">
        <v>1395</v>
      </c>
      <c r="H4389" t="s">
        <v>16</v>
      </c>
      <c r="I4389" t="s">
        <v>331</v>
      </c>
      <c r="J4389" t="s">
        <v>332</v>
      </c>
      <c r="K4389" t="s">
        <v>1809</v>
      </c>
      <c r="L4389" t="str">
        <f>HYPERLINK("https://business-monitor.ch/de/companies/451601-ils-mathys-ag?utm_source=oberaargau","PROFIL ANSEHEN")</f>
        <v>PROFIL ANSEHEN</v>
      </c>
    </row>
    <row r="4390" spans="1:12" x14ac:dyDescent="0.2">
      <c r="A4390" t="s">
        <v>13090</v>
      </c>
      <c r="B4390" t="s">
        <v>13091</v>
      </c>
      <c r="C4390" t="s">
        <v>202</v>
      </c>
      <c r="E4390" t="s">
        <v>5312</v>
      </c>
      <c r="F4390">
        <v>4900</v>
      </c>
      <c r="G4390" t="s">
        <v>41</v>
      </c>
      <c r="H4390" t="s">
        <v>16</v>
      </c>
      <c r="I4390" t="s">
        <v>134</v>
      </c>
      <c r="J4390" t="s">
        <v>135</v>
      </c>
      <c r="K4390" t="s">
        <v>1809</v>
      </c>
      <c r="L4390" t="str">
        <f>HYPERLINK("https://business-monitor.ch/de/companies/1235695-mahrle-technik-gmbh?utm_source=oberaargau","PROFIL ANSEHEN")</f>
        <v>PROFIL ANSEHEN</v>
      </c>
    </row>
    <row r="4391" spans="1:12" x14ac:dyDescent="0.2">
      <c r="A4391" t="s">
        <v>14668</v>
      </c>
      <c r="B4391" t="s">
        <v>14669</v>
      </c>
      <c r="C4391" t="s">
        <v>202</v>
      </c>
      <c r="E4391" t="s">
        <v>10334</v>
      </c>
      <c r="F4391">
        <v>4900</v>
      </c>
      <c r="G4391" t="s">
        <v>41</v>
      </c>
      <c r="H4391" t="s">
        <v>16</v>
      </c>
      <c r="I4391" t="s">
        <v>157</v>
      </c>
      <c r="J4391" t="s">
        <v>158</v>
      </c>
      <c r="K4391" t="s">
        <v>1809</v>
      </c>
      <c r="L4391" t="str">
        <f>HYPERLINK("https://business-monitor.ch/de/companies/1300327-imascal-gmbh?utm_source=oberaargau","PROFIL ANSEHEN")</f>
        <v>PROFIL ANSEHEN</v>
      </c>
    </row>
    <row r="4392" spans="1:12" x14ac:dyDescent="0.2">
      <c r="A4392" t="s">
        <v>9843</v>
      </c>
      <c r="B4392" t="s">
        <v>9844</v>
      </c>
      <c r="C4392" t="s">
        <v>202</v>
      </c>
      <c r="E4392" t="s">
        <v>9845</v>
      </c>
      <c r="F4392">
        <v>4955</v>
      </c>
      <c r="G4392" t="s">
        <v>684</v>
      </c>
      <c r="H4392" t="s">
        <v>16</v>
      </c>
      <c r="I4392" t="s">
        <v>1952</v>
      </c>
      <c r="J4392" t="s">
        <v>1953</v>
      </c>
      <c r="K4392" t="s">
        <v>1809</v>
      </c>
      <c r="L4392" t="str">
        <f>HYPERLINK("https://business-monitor.ch/de/companies/991223-wadolabi-gmbh?utm_source=oberaargau","PROFIL ANSEHEN")</f>
        <v>PROFIL ANSEHEN</v>
      </c>
    </row>
    <row r="4393" spans="1:12" x14ac:dyDescent="0.2">
      <c r="A4393" t="s">
        <v>5807</v>
      </c>
      <c r="B4393" t="s">
        <v>5808</v>
      </c>
      <c r="C4393" t="s">
        <v>1812</v>
      </c>
      <c r="E4393" t="s">
        <v>5809</v>
      </c>
      <c r="F4393">
        <v>4900</v>
      </c>
      <c r="G4393" t="s">
        <v>41</v>
      </c>
      <c r="H4393" t="s">
        <v>16</v>
      </c>
      <c r="I4393" t="s">
        <v>24</v>
      </c>
      <c r="J4393" t="s">
        <v>25</v>
      </c>
      <c r="K4393" t="s">
        <v>1809</v>
      </c>
      <c r="L4393" t="str">
        <f>HYPERLINK("https://business-monitor.ch/de/companies/323400-technology-for-innovations-imbach?utm_source=oberaargau","PROFIL ANSEHEN")</f>
        <v>PROFIL ANSEHEN</v>
      </c>
    </row>
    <row r="4394" spans="1:12" x14ac:dyDescent="0.2">
      <c r="A4394" t="s">
        <v>8196</v>
      </c>
      <c r="B4394" t="s">
        <v>8197</v>
      </c>
      <c r="C4394" t="s">
        <v>13</v>
      </c>
      <c r="E4394" t="s">
        <v>124</v>
      </c>
      <c r="F4394">
        <v>4900</v>
      </c>
      <c r="G4394" t="s">
        <v>41</v>
      </c>
      <c r="H4394" t="s">
        <v>16</v>
      </c>
      <c r="I4394" t="s">
        <v>182</v>
      </c>
      <c r="J4394" t="s">
        <v>183</v>
      </c>
      <c r="K4394" t="s">
        <v>1809</v>
      </c>
      <c r="L4394" t="str">
        <f>HYPERLINK("https://business-monitor.ch/de/companies/157078-tima-holding-ag?utm_source=oberaargau","PROFIL ANSEHEN")</f>
        <v>PROFIL ANSEHEN</v>
      </c>
    </row>
    <row r="4395" spans="1:12" x14ac:dyDescent="0.2">
      <c r="A4395" t="s">
        <v>13336</v>
      </c>
      <c r="B4395" t="s">
        <v>13337</v>
      </c>
      <c r="C4395" t="s">
        <v>202</v>
      </c>
      <c r="E4395" t="s">
        <v>13338</v>
      </c>
      <c r="F4395">
        <v>4900</v>
      </c>
      <c r="G4395" t="s">
        <v>41</v>
      </c>
      <c r="H4395" t="s">
        <v>16</v>
      </c>
      <c r="I4395" t="s">
        <v>1835</v>
      </c>
      <c r="J4395" t="s">
        <v>1836</v>
      </c>
      <c r="K4395" t="s">
        <v>1809</v>
      </c>
      <c r="L4395" t="str">
        <f>HYPERLINK("https://business-monitor.ch/de/companies/1095945-cleanserv-gmbh?utm_source=oberaargau","PROFIL ANSEHEN")</f>
        <v>PROFIL ANSEHEN</v>
      </c>
    </row>
    <row r="4396" spans="1:12" x14ac:dyDescent="0.2">
      <c r="A4396" t="s">
        <v>4820</v>
      </c>
      <c r="B4396" t="s">
        <v>4821</v>
      </c>
      <c r="C4396" t="s">
        <v>13</v>
      </c>
      <c r="E4396" t="s">
        <v>947</v>
      </c>
      <c r="F4396">
        <v>4900</v>
      </c>
      <c r="G4396" t="s">
        <v>41</v>
      </c>
      <c r="H4396" t="s">
        <v>16</v>
      </c>
      <c r="I4396" t="s">
        <v>935</v>
      </c>
      <c r="J4396" t="s">
        <v>936</v>
      </c>
      <c r="K4396" t="s">
        <v>1809</v>
      </c>
      <c r="L4396" t="str">
        <f>HYPERLINK("https://business-monitor.ch/de/companies/547250-azbau-ag?utm_source=oberaargau","PROFIL ANSEHEN")</f>
        <v>PROFIL ANSEHEN</v>
      </c>
    </row>
    <row r="4397" spans="1:12" x14ac:dyDescent="0.2">
      <c r="A4397" t="s">
        <v>3230</v>
      </c>
      <c r="B4397" t="s">
        <v>3231</v>
      </c>
      <c r="C4397" t="s">
        <v>13</v>
      </c>
      <c r="E4397" t="s">
        <v>3232</v>
      </c>
      <c r="F4397">
        <v>3367</v>
      </c>
      <c r="G4397" t="s">
        <v>455</v>
      </c>
      <c r="H4397" t="s">
        <v>16</v>
      </c>
      <c r="I4397" t="s">
        <v>1740</v>
      </c>
      <c r="J4397" t="s">
        <v>1741</v>
      </c>
      <c r="K4397" t="s">
        <v>1809</v>
      </c>
      <c r="L4397" t="str">
        <f>HYPERLINK("https://business-monitor.ch/de/companies/268486-muentener-swimming-pool-center-ag?utm_source=oberaargau","PROFIL ANSEHEN")</f>
        <v>PROFIL ANSEHEN</v>
      </c>
    </row>
    <row r="4398" spans="1:12" x14ac:dyDescent="0.2">
      <c r="A4398" t="s">
        <v>3689</v>
      </c>
      <c r="B4398" t="s">
        <v>3690</v>
      </c>
      <c r="C4398" t="s">
        <v>84</v>
      </c>
      <c r="E4398" t="s">
        <v>3691</v>
      </c>
      <c r="F4398">
        <v>4538</v>
      </c>
      <c r="G4398" t="s">
        <v>71</v>
      </c>
      <c r="H4398" t="s">
        <v>16</v>
      </c>
      <c r="I4398" t="s">
        <v>1924</v>
      </c>
      <c r="J4398" t="s">
        <v>1925</v>
      </c>
      <c r="K4398" t="s">
        <v>1809</v>
      </c>
      <c r="L4398" t="str">
        <f>HYPERLINK("https://business-monitor.ch/de/companies/25901-united-net-pages-unp-genossenschaft?utm_source=oberaargau","PROFIL ANSEHEN")</f>
        <v>PROFIL ANSEHEN</v>
      </c>
    </row>
    <row r="4399" spans="1:12" x14ac:dyDescent="0.2">
      <c r="A4399" t="s">
        <v>6594</v>
      </c>
      <c r="B4399" t="s">
        <v>6595</v>
      </c>
      <c r="C4399" t="s">
        <v>13</v>
      </c>
      <c r="E4399" t="s">
        <v>6596</v>
      </c>
      <c r="F4399">
        <v>4900</v>
      </c>
      <c r="G4399" t="s">
        <v>41</v>
      </c>
      <c r="H4399" t="s">
        <v>16</v>
      </c>
      <c r="I4399" t="s">
        <v>232</v>
      </c>
      <c r="J4399" t="s">
        <v>233</v>
      </c>
      <c r="K4399" t="s">
        <v>1809</v>
      </c>
      <c r="L4399" t="str">
        <f>HYPERLINK("https://business-monitor.ch/de/companies/208096-larugro-ag?utm_source=oberaargau","PROFIL ANSEHEN")</f>
        <v>PROFIL ANSEHEN</v>
      </c>
    </row>
    <row r="4400" spans="1:12" x14ac:dyDescent="0.2">
      <c r="A4400" t="s">
        <v>2667</v>
      </c>
      <c r="B4400" t="s">
        <v>2668</v>
      </c>
      <c r="C4400" t="s">
        <v>13</v>
      </c>
      <c r="E4400" t="s">
        <v>2669</v>
      </c>
      <c r="F4400">
        <v>4950</v>
      </c>
      <c r="G4400" t="s">
        <v>15</v>
      </c>
      <c r="H4400" t="s">
        <v>16</v>
      </c>
      <c r="I4400" t="s">
        <v>86</v>
      </c>
      <c r="J4400" t="s">
        <v>87</v>
      </c>
      <c r="K4400" t="s">
        <v>1809</v>
      </c>
      <c r="L4400" t="str">
        <f>HYPERLINK("https://business-monitor.ch/de/companies/1057752-kleintierzentrum-huttwil-ag?utm_source=oberaargau","PROFIL ANSEHEN")</f>
        <v>PROFIL ANSEHEN</v>
      </c>
    </row>
    <row r="4401" spans="1:12" x14ac:dyDescent="0.2">
      <c r="A4401" t="s">
        <v>9795</v>
      </c>
      <c r="B4401" t="s">
        <v>11015</v>
      </c>
      <c r="C4401" t="s">
        <v>202</v>
      </c>
      <c r="E4401" t="s">
        <v>2172</v>
      </c>
      <c r="F4401">
        <v>3380</v>
      </c>
      <c r="G4401" t="s">
        <v>29</v>
      </c>
      <c r="H4401" t="s">
        <v>16</v>
      </c>
      <c r="I4401" t="s">
        <v>9796</v>
      </c>
      <c r="J4401" t="s">
        <v>9797</v>
      </c>
      <c r="K4401" t="s">
        <v>1809</v>
      </c>
      <c r="L4401" t="str">
        <f>HYPERLINK("https://business-monitor.ch/de/companies/1016510-m426-systems-gmbh?utm_source=oberaargau","PROFIL ANSEHEN")</f>
        <v>PROFIL ANSEHEN</v>
      </c>
    </row>
    <row r="4402" spans="1:12" x14ac:dyDescent="0.2">
      <c r="A4402" t="s">
        <v>2624</v>
      </c>
      <c r="B4402" t="s">
        <v>2625</v>
      </c>
      <c r="C4402" t="s">
        <v>202</v>
      </c>
      <c r="E4402" t="s">
        <v>2626</v>
      </c>
      <c r="F4402">
        <v>4900</v>
      </c>
      <c r="G4402" t="s">
        <v>41</v>
      </c>
      <c r="H4402" t="s">
        <v>16</v>
      </c>
      <c r="I4402" t="s">
        <v>157</v>
      </c>
      <c r="J4402" t="s">
        <v>158</v>
      </c>
      <c r="K4402" t="s">
        <v>1809</v>
      </c>
      <c r="L4402" t="str">
        <f>HYPERLINK("https://business-monitor.ch/de/companies/114638-klossner-verwaltungen-gmbh?utm_source=oberaargau","PROFIL ANSEHEN")</f>
        <v>PROFIL ANSEHEN</v>
      </c>
    </row>
    <row r="4403" spans="1:12" x14ac:dyDescent="0.2">
      <c r="A4403" t="s">
        <v>3056</v>
      </c>
      <c r="B4403" t="s">
        <v>6227</v>
      </c>
      <c r="C4403" t="s">
        <v>202</v>
      </c>
      <c r="E4403" t="s">
        <v>6228</v>
      </c>
      <c r="F4403">
        <v>4913</v>
      </c>
      <c r="G4403" t="s">
        <v>207</v>
      </c>
      <c r="H4403" t="s">
        <v>16</v>
      </c>
      <c r="I4403" t="s">
        <v>624</v>
      </c>
      <c r="J4403" t="s">
        <v>625</v>
      </c>
      <c r="K4403" t="s">
        <v>1809</v>
      </c>
      <c r="L4403" t="str">
        <f>HYPERLINK("https://business-monitor.ch/de/companies/361528-staub-holzbau-gmbh?utm_source=oberaargau","PROFIL ANSEHEN")</f>
        <v>PROFIL ANSEHEN</v>
      </c>
    </row>
    <row r="4404" spans="1:12" x14ac:dyDescent="0.2">
      <c r="A4404" t="s">
        <v>8782</v>
      </c>
      <c r="B4404" t="s">
        <v>8783</v>
      </c>
      <c r="C4404" t="s">
        <v>202</v>
      </c>
      <c r="E4404" t="s">
        <v>11482</v>
      </c>
      <c r="F4404">
        <v>4536</v>
      </c>
      <c r="G4404" t="s">
        <v>1395</v>
      </c>
      <c r="H4404" t="s">
        <v>16</v>
      </c>
      <c r="I4404" t="s">
        <v>997</v>
      </c>
      <c r="J4404" t="s">
        <v>998</v>
      </c>
      <c r="K4404" t="s">
        <v>1809</v>
      </c>
      <c r="L4404" t="str">
        <f>HYPERLINK("https://business-monitor.ch/de/companies/358672-sl-motorbike-gmbh?utm_source=oberaargau","PROFIL ANSEHEN")</f>
        <v>PROFIL ANSEHEN</v>
      </c>
    </row>
    <row r="4405" spans="1:12" x14ac:dyDescent="0.2">
      <c r="A4405" t="s">
        <v>5169</v>
      </c>
      <c r="B4405" t="s">
        <v>5170</v>
      </c>
      <c r="C4405" t="s">
        <v>13</v>
      </c>
      <c r="E4405" t="s">
        <v>5171</v>
      </c>
      <c r="F4405">
        <v>4704</v>
      </c>
      <c r="G4405" t="s">
        <v>221</v>
      </c>
      <c r="H4405" t="s">
        <v>16</v>
      </c>
      <c r="I4405" t="s">
        <v>1607</v>
      </c>
      <c r="J4405" t="s">
        <v>1608</v>
      </c>
      <c r="K4405" t="s">
        <v>1809</v>
      </c>
      <c r="L4405" t="str">
        <f>HYPERLINK("https://business-monitor.ch/de/companies/630472-boesiger-bio-ag?utm_source=oberaargau","PROFIL ANSEHEN")</f>
        <v>PROFIL ANSEHEN</v>
      </c>
    </row>
    <row r="4406" spans="1:12" x14ac:dyDescent="0.2">
      <c r="A4406" t="s">
        <v>4928</v>
      </c>
      <c r="B4406" t="s">
        <v>4929</v>
      </c>
      <c r="C4406" t="s">
        <v>1812</v>
      </c>
      <c r="E4406" t="s">
        <v>4930</v>
      </c>
      <c r="F4406">
        <v>3362</v>
      </c>
      <c r="G4406" t="s">
        <v>47</v>
      </c>
      <c r="H4406" t="s">
        <v>16</v>
      </c>
      <c r="I4406" t="s">
        <v>24</v>
      </c>
      <c r="J4406" t="s">
        <v>25</v>
      </c>
      <c r="K4406" t="s">
        <v>1809</v>
      </c>
      <c r="L4406" t="str">
        <f>HYPERLINK("https://business-monitor.ch/de/companies/476579-multimedia-beratung-hodler?utm_source=oberaargau","PROFIL ANSEHEN")</f>
        <v>PROFIL ANSEHEN</v>
      </c>
    </row>
    <row r="4407" spans="1:12" x14ac:dyDescent="0.2">
      <c r="A4407" t="s">
        <v>4814</v>
      </c>
      <c r="B4407" t="s">
        <v>4815</v>
      </c>
      <c r="C4407" t="s">
        <v>202</v>
      </c>
      <c r="E4407" t="s">
        <v>4816</v>
      </c>
      <c r="F4407">
        <v>4538</v>
      </c>
      <c r="G4407" t="s">
        <v>71</v>
      </c>
      <c r="H4407" t="s">
        <v>16</v>
      </c>
      <c r="I4407" t="s">
        <v>260</v>
      </c>
      <c r="J4407" t="s">
        <v>261</v>
      </c>
      <c r="K4407" t="s">
        <v>1809</v>
      </c>
      <c r="L4407" t="str">
        <f>HYPERLINK("https://business-monitor.ch/de/companies/551047-architektur-a-gmbh?utm_source=oberaargau","PROFIL ANSEHEN")</f>
        <v>PROFIL ANSEHEN</v>
      </c>
    </row>
    <row r="4408" spans="1:12" x14ac:dyDescent="0.2">
      <c r="A4408" t="s">
        <v>3139</v>
      </c>
      <c r="B4408" t="s">
        <v>3140</v>
      </c>
      <c r="C4408" t="s">
        <v>202</v>
      </c>
      <c r="E4408" t="s">
        <v>3141</v>
      </c>
      <c r="F4408">
        <v>4704</v>
      </c>
      <c r="G4408" t="s">
        <v>221</v>
      </c>
      <c r="H4408" t="s">
        <v>16</v>
      </c>
      <c r="I4408" t="s">
        <v>935</v>
      </c>
      <c r="J4408" t="s">
        <v>936</v>
      </c>
      <c r="K4408" t="s">
        <v>1809</v>
      </c>
      <c r="L4408" t="str">
        <f>HYPERLINK("https://business-monitor.ch/de/companies/312587-rayan-immo-gmbh?utm_source=oberaargau","PROFIL ANSEHEN")</f>
        <v>PROFIL ANSEHEN</v>
      </c>
    </row>
    <row r="4409" spans="1:12" x14ac:dyDescent="0.2">
      <c r="A4409" t="s">
        <v>11493</v>
      </c>
      <c r="B4409" t="s">
        <v>11494</v>
      </c>
      <c r="C4409" t="s">
        <v>1812</v>
      </c>
      <c r="E4409" t="s">
        <v>11495</v>
      </c>
      <c r="F4409">
        <v>4900</v>
      </c>
      <c r="G4409" t="s">
        <v>41</v>
      </c>
      <c r="H4409" t="s">
        <v>16</v>
      </c>
      <c r="I4409" t="s">
        <v>2226</v>
      </c>
      <c r="J4409" t="s">
        <v>2227</v>
      </c>
      <c r="K4409" t="s">
        <v>1809</v>
      </c>
      <c r="L4409" t="str">
        <f>HYPERLINK("https://business-monitor.ch/de/companies/1144948-physiotherapie-brigitte-stark-maeder?utm_source=oberaargau","PROFIL ANSEHEN")</f>
        <v>PROFIL ANSEHEN</v>
      </c>
    </row>
    <row r="4410" spans="1:12" x14ac:dyDescent="0.2">
      <c r="A4410" t="s">
        <v>6724</v>
      </c>
      <c r="B4410" t="s">
        <v>6725</v>
      </c>
      <c r="C4410" t="s">
        <v>13</v>
      </c>
      <c r="E4410" t="s">
        <v>6726</v>
      </c>
      <c r="F4410">
        <v>4900</v>
      </c>
      <c r="G4410" t="s">
        <v>41</v>
      </c>
      <c r="H4410" t="s">
        <v>16</v>
      </c>
      <c r="I4410" t="s">
        <v>1324</v>
      </c>
      <c r="J4410" t="s">
        <v>1325</v>
      </c>
      <c r="K4410" t="s">
        <v>1809</v>
      </c>
      <c r="L4410" t="str">
        <f>HYPERLINK("https://business-monitor.ch/de/companies/133373-kirchhofer-gewaechshaustechnik-ag?utm_source=oberaargau","PROFIL ANSEHEN")</f>
        <v>PROFIL ANSEHEN</v>
      </c>
    </row>
    <row r="4411" spans="1:12" x14ac:dyDescent="0.2">
      <c r="A4411" t="s">
        <v>6037</v>
      </c>
      <c r="B4411" t="s">
        <v>6038</v>
      </c>
      <c r="C4411" t="s">
        <v>1827</v>
      </c>
      <c r="E4411" t="s">
        <v>6039</v>
      </c>
      <c r="F4411">
        <v>3360</v>
      </c>
      <c r="G4411" t="s">
        <v>35</v>
      </c>
      <c r="H4411" t="s">
        <v>16</v>
      </c>
      <c r="I4411" t="s">
        <v>2545</v>
      </c>
      <c r="J4411" t="s">
        <v>2546</v>
      </c>
      <c r="K4411" t="s">
        <v>1809</v>
      </c>
      <c r="L4411" t="str">
        <f>HYPERLINK("https://business-monitor.ch/de/companies/219712-heilpaedagogische-hausgemeinschaft-juerg-irene-fischer-gerber?utm_source=oberaargau","PROFIL ANSEHEN")</f>
        <v>PROFIL ANSEHEN</v>
      </c>
    </row>
    <row r="4412" spans="1:12" x14ac:dyDescent="0.2">
      <c r="A4412" t="s">
        <v>908</v>
      </c>
      <c r="B4412" t="s">
        <v>909</v>
      </c>
      <c r="C4412" t="s">
        <v>13</v>
      </c>
      <c r="E4412" t="s">
        <v>910</v>
      </c>
      <c r="F4412">
        <v>4934</v>
      </c>
      <c r="G4412" t="s">
        <v>670</v>
      </c>
      <c r="H4412" t="s">
        <v>16</v>
      </c>
      <c r="I4412" t="s">
        <v>134</v>
      </c>
      <c r="J4412" t="s">
        <v>135</v>
      </c>
      <c r="K4412" t="s">
        <v>1809</v>
      </c>
      <c r="L4412" t="str">
        <f>HYPERLINK("https://business-monitor.ch/de/companies/339264-elektro-kohler-ag?utm_source=oberaargau","PROFIL ANSEHEN")</f>
        <v>PROFIL ANSEHEN</v>
      </c>
    </row>
    <row r="4413" spans="1:12" x14ac:dyDescent="0.2">
      <c r="A4413" t="s">
        <v>5478</v>
      </c>
      <c r="B4413" t="s">
        <v>5479</v>
      </c>
      <c r="C4413" t="s">
        <v>1812</v>
      </c>
      <c r="E4413" t="s">
        <v>5480</v>
      </c>
      <c r="F4413">
        <v>4537</v>
      </c>
      <c r="G4413" t="s">
        <v>113</v>
      </c>
      <c r="H4413" t="s">
        <v>16</v>
      </c>
      <c r="I4413" t="s">
        <v>1446</v>
      </c>
      <c r="J4413" t="s">
        <v>1447</v>
      </c>
      <c r="K4413" t="s">
        <v>1809</v>
      </c>
      <c r="L4413" t="str">
        <f>HYPERLINK("https://business-monitor.ch/de/companies/176212-sokac-haustechnik?utm_source=oberaargau","PROFIL ANSEHEN")</f>
        <v>PROFIL ANSEHEN</v>
      </c>
    </row>
    <row r="4414" spans="1:12" x14ac:dyDescent="0.2">
      <c r="A4414" t="s">
        <v>5407</v>
      </c>
      <c r="B4414" t="s">
        <v>5408</v>
      </c>
      <c r="C4414" t="s">
        <v>202</v>
      </c>
      <c r="E4414" t="s">
        <v>523</v>
      </c>
      <c r="F4414">
        <v>4900</v>
      </c>
      <c r="G4414" t="s">
        <v>41</v>
      </c>
      <c r="H4414" t="s">
        <v>16</v>
      </c>
      <c r="I4414" t="s">
        <v>186</v>
      </c>
      <c r="J4414" t="s">
        <v>187</v>
      </c>
      <c r="K4414" t="s">
        <v>1809</v>
      </c>
      <c r="L4414" t="str">
        <f>HYPERLINK("https://business-monitor.ch/de/companies/272525-sb-schaerer-beteiligung-gmbh?utm_source=oberaargau","PROFIL ANSEHEN")</f>
        <v>PROFIL ANSEHEN</v>
      </c>
    </row>
    <row r="4415" spans="1:12" x14ac:dyDescent="0.2">
      <c r="A4415" t="s">
        <v>7289</v>
      </c>
      <c r="B4415" t="s">
        <v>7290</v>
      </c>
      <c r="C4415" t="s">
        <v>202</v>
      </c>
      <c r="E4415" t="s">
        <v>7291</v>
      </c>
      <c r="F4415">
        <v>4950</v>
      </c>
      <c r="G4415" t="s">
        <v>15</v>
      </c>
      <c r="H4415" t="s">
        <v>16</v>
      </c>
      <c r="I4415" t="s">
        <v>186</v>
      </c>
      <c r="J4415" t="s">
        <v>187</v>
      </c>
      <c r="K4415" t="s">
        <v>1809</v>
      </c>
      <c r="L4415" t="str">
        <f>HYPERLINK("https://business-monitor.ch/de/companies/1011083-christian-greub-holding-gmbh?utm_source=oberaargau","PROFIL ANSEHEN")</f>
        <v>PROFIL ANSEHEN</v>
      </c>
    </row>
    <row r="4416" spans="1:12" x14ac:dyDescent="0.2">
      <c r="A4416" t="s">
        <v>7092</v>
      </c>
      <c r="B4416" t="s">
        <v>7093</v>
      </c>
      <c r="C4416" t="s">
        <v>1812</v>
      </c>
      <c r="E4416" t="s">
        <v>7094</v>
      </c>
      <c r="F4416">
        <v>4922</v>
      </c>
      <c r="G4416" t="s">
        <v>99</v>
      </c>
      <c r="H4416" t="s">
        <v>16</v>
      </c>
      <c r="I4416" t="s">
        <v>1053</v>
      </c>
      <c r="J4416" t="s">
        <v>1054</v>
      </c>
      <c r="K4416" t="s">
        <v>1809</v>
      </c>
      <c r="L4416" t="str">
        <f>HYPERLINK("https://business-monitor.ch/de/companies/629266-die-dekoration-katja-beutler-roethlisberger?utm_source=oberaargau","PROFIL ANSEHEN")</f>
        <v>PROFIL ANSEHEN</v>
      </c>
    </row>
    <row r="4417" spans="1:12" x14ac:dyDescent="0.2">
      <c r="A4417" t="s">
        <v>4521</v>
      </c>
      <c r="B4417" t="s">
        <v>4522</v>
      </c>
      <c r="C4417" t="s">
        <v>13</v>
      </c>
      <c r="E4417" t="s">
        <v>4523</v>
      </c>
      <c r="F4417">
        <v>4900</v>
      </c>
      <c r="G4417" t="s">
        <v>41</v>
      </c>
      <c r="H4417" t="s">
        <v>16</v>
      </c>
      <c r="I4417" t="s">
        <v>551</v>
      </c>
      <c r="J4417" t="s">
        <v>552</v>
      </c>
      <c r="K4417" t="s">
        <v>1809</v>
      </c>
      <c r="L4417" t="str">
        <f>HYPERLINK("https://business-monitor.ch/de/companies/690332-maconas-ag?utm_source=oberaargau","PROFIL ANSEHEN")</f>
        <v>PROFIL ANSEHEN</v>
      </c>
    </row>
    <row r="4418" spans="1:12" x14ac:dyDescent="0.2">
      <c r="A4418" t="s">
        <v>5752</v>
      </c>
      <c r="B4418" t="s">
        <v>5753</v>
      </c>
      <c r="C4418" t="s">
        <v>202</v>
      </c>
      <c r="E4418" t="s">
        <v>12223</v>
      </c>
      <c r="F4418">
        <v>4950</v>
      </c>
      <c r="G4418" t="s">
        <v>15</v>
      </c>
      <c r="H4418" t="s">
        <v>16</v>
      </c>
      <c r="I4418" t="s">
        <v>1865</v>
      </c>
      <c r="J4418" t="s">
        <v>1866</v>
      </c>
      <c r="K4418" t="s">
        <v>1809</v>
      </c>
      <c r="L4418" t="str">
        <f>HYPERLINK("https://business-monitor.ch/de/companies/970828-reuss-fm-gmbh?utm_source=oberaargau","PROFIL ANSEHEN")</f>
        <v>PROFIL ANSEHEN</v>
      </c>
    </row>
    <row r="4419" spans="1:12" x14ac:dyDescent="0.2">
      <c r="A4419" t="s">
        <v>10735</v>
      </c>
      <c r="B4419" t="s">
        <v>10736</v>
      </c>
      <c r="C4419" t="s">
        <v>1827</v>
      </c>
      <c r="E4419" t="s">
        <v>2217</v>
      </c>
      <c r="F4419">
        <v>4938</v>
      </c>
      <c r="G4419" t="s">
        <v>618</v>
      </c>
      <c r="H4419" t="s">
        <v>16</v>
      </c>
      <c r="I4419" t="s">
        <v>2337</v>
      </c>
      <c r="J4419" t="s">
        <v>2338</v>
      </c>
      <c r="K4419" t="s">
        <v>1809</v>
      </c>
      <c r="L4419" t="str">
        <f>HYPERLINK("https://business-monitor.ch/de/companies/1097278-allo-capital-klg?utm_source=oberaargau","PROFIL ANSEHEN")</f>
        <v>PROFIL ANSEHEN</v>
      </c>
    </row>
    <row r="4420" spans="1:12" x14ac:dyDescent="0.2">
      <c r="A4420" t="s">
        <v>6893</v>
      </c>
      <c r="B4420" t="s">
        <v>6894</v>
      </c>
      <c r="C4420" t="s">
        <v>13</v>
      </c>
      <c r="D4420" t="s">
        <v>6895</v>
      </c>
      <c r="E4420" t="s">
        <v>1787</v>
      </c>
      <c r="F4420">
        <v>4900</v>
      </c>
      <c r="G4420" t="s">
        <v>41</v>
      </c>
      <c r="H4420" t="s">
        <v>16</v>
      </c>
      <c r="I4420" t="s">
        <v>186</v>
      </c>
      <c r="J4420" t="s">
        <v>187</v>
      </c>
      <c r="K4420" t="s">
        <v>1809</v>
      </c>
      <c r="L4420" t="str">
        <f>HYPERLINK("https://business-monitor.ch/de/companies/25849-kummer-holding-ag?utm_source=oberaargau","PROFIL ANSEHEN")</f>
        <v>PROFIL ANSEHEN</v>
      </c>
    </row>
    <row r="4421" spans="1:12" x14ac:dyDescent="0.2">
      <c r="A4421" t="s">
        <v>2527</v>
      </c>
      <c r="B4421" t="s">
        <v>2528</v>
      </c>
      <c r="C4421" t="s">
        <v>13</v>
      </c>
      <c r="E4421" t="s">
        <v>2529</v>
      </c>
      <c r="F4421">
        <v>3360</v>
      </c>
      <c r="G4421" t="s">
        <v>35</v>
      </c>
      <c r="H4421" t="s">
        <v>16</v>
      </c>
      <c r="I4421" t="s">
        <v>642</v>
      </c>
      <c r="J4421" t="s">
        <v>643</v>
      </c>
      <c r="K4421" t="s">
        <v>1809</v>
      </c>
      <c r="L4421" t="str">
        <f>HYPERLINK("https://business-monitor.ch/de/companies/56066-alisa-autocenter-ag?utm_source=oberaargau","PROFIL ANSEHEN")</f>
        <v>PROFIL ANSEHEN</v>
      </c>
    </row>
    <row r="4422" spans="1:12" x14ac:dyDescent="0.2">
      <c r="A4422" t="s">
        <v>10238</v>
      </c>
      <c r="B4422" t="s">
        <v>10239</v>
      </c>
      <c r="C4422" t="s">
        <v>1812</v>
      </c>
      <c r="E4422" t="s">
        <v>11998</v>
      </c>
      <c r="F4422">
        <v>3380</v>
      </c>
      <c r="G4422" t="s">
        <v>29</v>
      </c>
      <c r="H4422" t="s">
        <v>16</v>
      </c>
      <c r="I4422" t="s">
        <v>624</v>
      </c>
      <c r="J4422" t="s">
        <v>625</v>
      </c>
      <c r="K4422" t="s">
        <v>1809</v>
      </c>
      <c r="L4422" t="str">
        <f>HYPERLINK("https://business-monitor.ch/de/companies/602959-reusser-holz-dach-garten?utm_source=oberaargau","PROFIL ANSEHEN")</f>
        <v>PROFIL ANSEHEN</v>
      </c>
    </row>
    <row r="4423" spans="1:12" x14ac:dyDescent="0.2">
      <c r="A4423" t="s">
        <v>4022</v>
      </c>
      <c r="B4423" t="s">
        <v>4023</v>
      </c>
      <c r="C4423" t="s">
        <v>202</v>
      </c>
      <c r="E4423" t="s">
        <v>2629</v>
      </c>
      <c r="F4423">
        <v>4912</v>
      </c>
      <c r="G4423" t="s">
        <v>64</v>
      </c>
      <c r="H4423" t="s">
        <v>16</v>
      </c>
      <c r="I4423" t="s">
        <v>186</v>
      </c>
      <c r="J4423" t="s">
        <v>187</v>
      </c>
      <c r="K4423" t="s">
        <v>1809</v>
      </c>
      <c r="L4423" t="str">
        <f>HYPERLINK("https://business-monitor.ch/de/companies/561785-isa-93-gmbh?utm_source=oberaargau","PROFIL ANSEHEN")</f>
        <v>PROFIL ANSEHEN</v>
      </c>
    </row>
    <row r="4424" spans="1:12" x14ac:dyDescent="0.2">
      <c r="A4424" t="s">
        <v>3330</v>
      </c>
      <c r="B4424" t="s">
        <v>3331</v>
      </c>
      <c r="C4424" t="s">
        <v>1812</v>
      </c>
      <c r="E4424" t="s">
        <v>3332</v>
      </c>
      <c r="F4424">
        <v>4917</v>
      </c>
      <c r="G4424" t="s">
        <v>376</v>
      </c>
      <c r="H4424" t="s">
        <v>16</v>
      </c>
      <c r="I4424" t="s">
        <v>551</v>
      </c>
      <c r="J4424" t="s">
        <v>552</v>
      </c>
      <c r="K4424" t="s">
        <v>1809</v>
      </c>
      <c r="L4424" t="str">
        <f>HYPERLINK("https://business-monitor.ch/de/companies/225516-unternehmungs-beratung-alfred-m-lehmann?utm_source=oberaargau","PROFIL ANSEHEN")</f>
        <v>PROFIL ANSEHEN</v>
      </c>
    </row>
    <row r="4425" spans="1:12" x14ac:dyDescent="0.2">
      <c r="A4425" t="s">
        <v>10323</v>
      </c>
      <c r="B4425" t="s">
        <v>10324</v>
      </c>
      <c r="C4425" t="s">
        <v>202</v>
      </c>
      <c r="E4425" t="s">
        <v>10325</v>
      </c>
      <c r="F4425">
        <v>4900</v>
      </c>
      <c r="G4425" t="s">
        <v>41</v>
      </c>
      <c r="H4425" t="s">
        <v>16</v>
      </c>
      <c r="I4425" t="s">
        <v>186</v>
      </c>
      <c r="J4425" t="s">
        <v>187</v>
      </c>
      <c r="K4425" t="s">
        <v>1809</v>
      </c>
      <c r="L4425" t="str">
        <f>HYPERLINK("https://business-monitor.ch/de/companies/550245-jaeggi-holding-gmbh?utm_source=oberaargau","PROFIL ANSEHEN")</f>
        <v>PROFIL ANSEHEN</v>
      </c>
    </row>
    <row r="4426" spans="1:12" x14ac:dyDescent="0.2">
      <c r="A4426" t="s">
        <v>6031</v>
      </c>
      <c r="B4426" t="s">
        <v>6032</v>
      </c>
      <c r="C4426" t="s">
        <v>84</v>
      </c>
      <c r="D4426" t="s">
        <v>6033</v>
      </c>
      <c r="E4426" t="s">
        <v>1156</v>
      </c>
      <c r="F4426">
        <v>4901</v>
      </c>
      <c r="G4426" t="s">
        <v>41</v>
      </c>
      <c r="H4426" t="s">
        <v>16</v>
      </c>
      <c r="I4426" t="s">
        <v>77</v>
      </c>
      <c r="J4426" t="s">
        <v>78</v>
      </c>
      <c r="K4426" t="s">
        <v>1809</v>
      </c>
      <c r="L4426" t="str">
        <f>HYPERLINK("https://business-monitor.ch/de/companies/429351-genossenschaft-m-s-bauen-und-wohnen?utm_source=oberaargau","PROFIL ANSEHEN")</f>
        <v>PROFIL ANSEHEN</v>
      </c>
    </row>
    <row r="4427" spans="1:12" x14ac:dyDescent="0.2">
      <c r="A4427" t="s">
        <v>6045</v>
      </c>
      <c r="B4427" t="s">
        <v>6046</v>
      </c>
      <c r="C4427" t="s">
        <v>1812</v>
      </c>
      <c r="E4427" t="s">
        <v>5022</v>
      </c>
      <c r="F4427">
        <v>3360</v>
      </c>
      <c r="G4427" t="s">
        <v>35</v>
      </c>
      <c r="H4427" t="s">
        <v>16</v>
      </c>
      <c r="I4427" t="s">
        <v>1855</v>
      </c>
      <c r="J4427" t="s">
        <v>1856</v>
      </c>
      <c r="K4427" t="s">
        <v>1809</v>
      </c>
      <c r="L4427" t="str">
        <f>HYPERLINK("https://business-monitor.ch/de/companies/86249-kosmetikpraxis-buchsi-gal-claudia?utm_source=oberaargau","PROFIL ANSEHEN")</f>
        <v>PROFIL ANSEHEN</v>
      </c>
    </row>
    <row r="4428" spans="1:12" x14ac:dyDescent="0.2">
      <c r="A4428" t="s">
        <v>9661</v>
      </c>
      <c r="B4428" t="s">
        <v>9662</v>
      </c>
      <c r="C4428" t="s">
        <v>202</v>
      </c>
      <c r="E4428" t="s">
        <v>9663</v>
      </c>
      <c r="F4428">
        <v>4950</v>
      </c>
      <c r="G4428" t="s">
        <v>15</v>
      </c>
      <c r="H4428" t="s">
        <v>16</v>
      </c>
      <c r="I4428" t="s">
        <v>824</v>
      </c>
      <c r="J4428" t="s">
        <v>825</v>
      </c>
      <c r="K4428" t="s">
        <v>1809</v>
      </c>
      <c r="L4428" t="str">
        <f>HYPERLINK("https://business-monitor.ch/de/companies/638160-merdan-gastro-gmbh?utm_source=oberaargau","PROFIL ANSEHEN")</f>
        <v>PROFIL ANSEHEN</v>
      </c>
    </row>
    <row r="4429" spans="1:12" x14ac:dyDescent="0.2">
      <c r="A4429" t="s">
        <v>3130</v>
      </c>
      <c r="B4429" t="s">
        <v>3131</v>
      </c>
      <c r="C4429" t="s">
        <v>1922</v>
      </c>
      <c r="E4429" t="s">
        <v>3132</v>
      </c>
      <c r="F4429">
        <v>4900</v>
      </c>
      <c r="G4429" t="s">
        <v>41</v>
      </c>
      <c r="H4429" t="s">
        <v>16</v>
      </c>
      <c r="I4429" t="s">
        <v>640</v>
      </c>
      <c r="J4429" t="s">
        <v>641</v>
      </c>
      <c r="K4429" t="s">
        <v>1809</v>
      </c>
      <c r="L4429" t="str">
        <f>HYPERLINK("https://business-monitor.ch/de/companies/313475-fritz-burkhalter-stiftung?utm_source=oberaargau","PROFIL ANSEHEN")</f>
        <v>PROFIL ANSEHEN</v>
      </c>
    </row>
    <row r="4430" spans="1:12" x14ac:dyDescent="0.2">
      <c r="A4430" t="s">
        <v>10142</v>
      </c>
      <c r="B4430" t="s">
        <v>10143</v>
      </c>
      <c r="C4430" t="s">
        <v>13</v>
      </c>
      <c r="E4430" t="s">
        <v>10144</v>
      </c>
      <c r="F4430">
        <v>4937</v>
      </c>
      <c r="G4430" t="s">
        <v>951</v>
      </c>
      <c r="H4430" t="s">
        <v>16</v>
      </c>
      <c r="I4430" t="s">
        <v>642</v>
      </c>
      <c r="J4430" t="s">
        <v>643</v>
      </c>
      <c r="K4430" t="s">
        <v>1809</v>
      </c>
      <c r="L4430" t="str">
        <f>HYPERLINK("https://business-monitor.ch/de/companies/654526-sport-garage-widmer-ag?utm_source=oberaargau","PROFIL ANSEHEN")</f>
        <v>PROFIL ANSEHEN</v>
      </c>
    </row>
    <row r="4431" spans="1:12" x14ac:dyDescent="0.2">
      <c r="A4431" t="s">
        <v>14000</v>
      </c>
      <c r="B4431" t="s">
        <v>14001</v>
      </c>
      <c r="C4431" t="s">
        <v>1812</v>
      </c>
      <c r="E4431" t="s">
        <v>14002</v>
      </c>
      <c r="F4431">
        <v>4900</v>
      </c>
      <c r="G4431" t="s">
        <v>41</v>
      </c>
      <c r="H4431" t="s">
        <v>16</v>
      </c>
      <c r="I4431" t="s">
        <v>917</v>
      </c>
      <c r="J4431" t="s">
        <v>918</v>
      </c>
      <c r="K4431" t="s">
        <v>1809</v>
      </c>
      <c r="L4431" t="str">
        <f>HYPERLINK("https://business-monitor.ch/de/companies/1212439-saturn-energy-abdelrahman?utm_source=oberaargau","PROFIL ANSEHEN")</f>
        <v>PROFIL ANSEHEN</v>
      </c>
    </row>
    <row r="4432" spans="1:12" x14ac:dyDescent="0.2">
      <c r="A4432" t="s">
        <v>3473</v>
      </c>
      <c r="B4432" t="s">
        <v>3474</v>
      </c>
      <c r="C4432" t="s">
        <v>13</v>
      </c>
      <c r="E4432" t="s">
        <v>1084</v>
      </c>
      <c r="F4432">
        <v>4900</v>
      </c>
      <c r="G4432" t="s">
        <v>41</v>
      </c>
      <c r="H4432" t="s">
        <v>16</v>
      </c>
      <c r="I4432" t="s">
        <v>838</v>
      </c>
      <c r="J4432" t="s">
        <v>839</v>
      </c>
      <c r="K4432" t="s">
        <v>1809</v>
      </c>
      <c r="L4432" t="str">
        <f>HYPERLINK("https://business-monitor.ch/de/companies/170917-franz-bucher-ag?utm_source=oberaargau","PROFIL ANSEHEN")</f>
        <v>PROFIL ANSEHEN</v>
      </c>
    </row>
    <row r="4433" spans="1:12" x14ac:dyDescent="0.2">
      <c r="A4433" t="s">
        <v>544</v>
      </c>
      <c r="B4433" t="s">
        <v>9345</v>
      </c>
      <c r="C4433" t="s">
        <v>13</v>
      </c>
      <c r="D4433" t="s">
        <v>9346</v>
      </c>
      <c r="E4433" t="s">
        <v>9347</v>
      </c>
      <c r="F4433">
        <v>3360</v>
      </c>
      <c r="G4433" t="s">
        <v>35</v>
      </c>
      <c r="H4433" t="s">
        <v>16</v>
      </c>
      <c r="I4433" t="s">
        <v>157</v>
      </c>
      <c r="J4433" t="s">
        <v>158</v>
      </c>
      <c r="K4433" t="s">
        <v>1809</v>
      </c>
      <c r="L4433" t="str">
        <f>HYPERLINK("https://business-monitor.ch/de/companies/69143-rumolia-immobilien-ag?utm_source=oberaargau","PROFIL ANSEHEN")</f>
        <v>PROFIL ANSEHEN</v>
      </c>
    </row>
    <row r="4434" spans="1:12" x14ac:dyDescent="0.2">
      <c r="A4434" t="s">
        <v>5879</v>
      </c>
      <c r="B4434" t="s">
        <v>5880</v>
      </c>
      <c r="C4434" t="s">
        <v>202</v>
      </c>
      <c r="E4434" t="s">
        <v>5881</v>
      </c>
      <c r="F4434">
        <v>4704</v>
      </c>
      <c r="G4434" t="s">
        <v>221</v>
      </c>
      <c r="H4434" t="s">
        <v>16</v>
      </c>
      <c r="I4434" t="s">
        <v>824</v>
      </c>
      <c r="J4434" t="s">
        <v>825</v>
      </c>
      <c r="K4434" t="s">
        <v>1809</v>
      </c>
      <c r="L4434" t="str">
        <f>HYPERLINK("https://business-monitor.ch/de/companies/504053-chrigu-s-aarebeizli-gmbh?utm_source=oberaargau","PROFIL ANSEHEN")</f>
        <v>PROFIL ANSEHEN</v>
      </c>
    </row>
    <row r="4435" spans="1:12" x14ac:dyDescent="0.2">
      <c r="A4435" t="s">
        <v>8093</v>
      </c>
      <c r="B4435" t="s">
        <v>8094</v>
      </c>
      <c r="C4435" t="s">
        <v>1812</v>
      </c>
      <c r="E4435" t="s">
        <v>8095</v>
      </c>
      <c r="F4435">
        <v>4914</v>
      </c>
      <c r="G4435" t="s">
        <v>105</v>
      </c>
      <c r="H4435" t="s">
        <v>16</v>
      </c>
      <c r="I4435" t="s">
        <v>371</v>
      </c>
      <c r="J4435" t="s">
        <v>372</v>
      </c>
      <c r="K4435" t="s">
        <v>1809</v>
      </c>
      <c r="L4435" t="str">
        <f>HYPERLINK("https://business-monitor.ch/de/companies/1068478-one-planet-sustainables-inh-michel?utm_source=oberaargau","PROFIL ANSEHEN")</f>
        <v>PROFIL ANSEHEN</v>
      </c>
    </row>
    <row r="4436" spans="1:12" x14ac:dyDescent="0.2">
      <c r="A4436" t="s">
        <v>11324</v>
      </c>
      <c r="B4436" t="s">
        <v>11325</v>
      </c>
      <c r="C4436" t="s">
        <v>1922</v>
      </c>
      <c r="D4436" t="s">
        <v>5218</v>
      </c>
      <c r="E4436" t="s">
        <v>5219</v>
      </c>
      <c r="F4436">
        <v>4900</v>
      </c>
      <c r="G4436" t="s">
        <v>41</v>
      </c>
      <c r="H4436" t="s">
        <v>16</v>
      </c>
      <c r="I4436" t="s">
        <v>2849</v>
      </c>
      <c r="J4436" t="s">
        <v>2850</v>
      </c>
      <c r="K4436" t="s">
        <v>1809</v>
      </c>
      <c r="L4436" t="str">
        <f>HYPERLINK("https://business-monitor.ch/de/companies/1133620-fondation-honorer?utm_source=oberaargau","PROFIL ANSEHEN")</f>
        <v>PROFIL ANSEHEN</v>
      </c>
    </row>
    <row r="4437" spans="1:12" x14ac:dyDescent="0.2">
      <c r="A4437" t="s">
        <v>4809</v>
      </c>
      <c r="B4437" t="s">
        <v>4810</v>
      </c>
      <c r="C4437" t="s">
        <v>13</v>
      </c>
      <c r="E4437" t="s">
        <v>4811</v>
      </c>
      <c r="F4437">
        <v>4900</v>
      </c>
      <c r="G4437" t="s">
        <v>41</v>
      </c>
      <c r="H4437" t="s">
        <v>16</v>
      </c>
      <c r="I4437" t="s">
        <v>157</v>
      </c>
      <c r="J4437" t="s">
        <v>158</v>
      </c>
      <c r="K4437" t="s">
        <v>1809</v>
      </c>
      <c r="L4437" t="str">
        <f>HYPERLINK("https://business-monitor.ch/de/companies/551328-solino-ag?utm_source=oberaargau","PROFIL ANSEHEN")</f>
        <v>PROFIL ANSEHEN</v>
      </c>
    </row>
    <row r="4438" spans="1:12" x14ac:dyDescent="0.2">
      <c r="A4438" t="s">
        <v>6027</v>
      </c>
      <c r="B4438" t="s">
        <v>6028</v>
      </c>
      <c r="C4438" t="s">
        <v>202</v>
      </c>
      <c r="E4438" t="s">
        <v>6029</v>
      </c>
      <c r="F4438">
        <v>4954</v>
      </c>
      <c r="G4438" t="s">
        <v>359</v>
      </c>
      <c r="H4438" t="s">
        <v>16</v>
      </c>
      <c r="I4438" t="s">
        <v>624</v>
      </c>
      <c r="J4438" t="s">
        <v>625</v>
      </c>
      <c r="K4438" t="s">
        <v>1809</v>
      </c>
      <c r="L4438" t="str">
        <f>HYPERLINK("https://business-monitor.ch/de/companies/430723-eggimann-zimmerei-gmbh?utm_source=oberaargau","PROFIL ANSEHEN")</f>
        <v>PROFIL ANSEHEN</v>
      </c>
    </row>
    <row r="4439" spans="1:12" x14ac:dyDescent="0.2">
      <c r="A4439" t="s">
        <v>9696</v>
      </c>
      <c r="B4439" t="s">
        <v>9697</v>
      </c>
      <c r="C4439" t="s">
        <v>202</v>
      </c>
      <c r="E4439" t="s">
        <v>9192</v>
      </c>
      <c r="F4439">
        <v>4900</v>
      </c>
      <c r="G4439" t="s">
        <v>41</v>
      </c>
      <c r="H4439" t="s">
        <v>16</v>
      </c>
      <c r="I4439" t="s">
        <v>854</v>
      </c>
      <c r="J4439" t="s">
        <v>855</v>
      </c>
      <c r="K4439" t="s">
        <v>1809</v>
      </c>
      <c r="L4439" t="str">
        <f>HYPERLINK("https://business-monitor.ch/de/companies/1051489-pragmo-it-gmbh?utm_source=oberaargau","PROFIL ANSEHEN")</f>
        <v>PROFIL ANSEHEN</v>
      </c>
    </row>
    <row r="4440" spans="1:12" x14ac:dyDescent="0.2">
      <c r="A4440" t="s">
        <v>8933</v>
      </c>
      <c r="B4440" t="s">
        <v>8934</v>
      </c>
      <c r="C4440" t="s">
        <v>202</v>
      </c>
      <c r="E4440" t="s">
        <v>1755</v>
      </c>
      <c r="F4440">
        <v>3365</v>
      </c>
      <c r="G4440" t="s">
        <v>1008</v>
      </c>
      <c r="H4440" t="s">
        <v>16</v>
      </c>
      <c r="I4440" t="s">
        <v>679</v>
      </c>
      <c r="J4440" t="s">
        <v>680</v>
      </c>
      <c r="K4440" t="s">
        <v>1809</v>
      </c>
      <c r="L4440" t="str">
        <f>HYPERLINK("https://business-monitor.ch/de/companies/271225-cubus-schreinerei-fuer-gestaltung-gmbh?utm_source=oberaargau","PROFIL ANSEHEN")</f>
        <v>PROFIL ANSEHEN</v>
      </c>
    </row>
    <row r="4441" spans="1:12" x14ac:dyDescent="0.2">
      <c r="A4441" t="s">
        <v>3308</v>
      </c>
      <c r="B4441" t="s">
        <v>3309</v>
      </c>
      <c r="C4441" t="s">
        <v>202</v>
      </c>
      <c r="E4441" t="s">
        <v>3310</v>
      </c>
      <c r="F4441">
        <v>4704</v>
      </c>
      <c r="G4441" t="s">
        <v>221</v>
      </c>
      <c r="H4441" t="s">
        <v>16</v>
      </c>
      <c r="I4441" t="s">
        <v>1860</v>
      </c>
      <c r="J4441" t="s">
        <v>1861</v>
      </c>
      <c r="K4441" t="s">
        <v>1809</v>
      </c>
      <c r="L4441" t="str">
        <f>HYPERLINK("https://business-monitor.ch/de/companies/238707-coiffure-freudiger-gmbh?utm_source=oberaargau","PROFIL ANSEHEN")</f>
        <v>PROFIL ANSEHEN</v>
      </c>
    </row>
    <row r="4442" spans="1:12" x14ac:dyDescent="0.2">
      <c r="A4442" t="s">
        <v>3786</v>
      </c>
      <c r="B4442" t="s">
        <v>3787</v>
      </c>
      <c r="C4442" t="s">
        <v>1812</v>
      </c>
      <c r="E4442" t="s">
        <v>3788</v>
      </c>
      <c r="F4442">
        <v>4950</v>
      </c>
      <c r="G4442" t="s">
        <v>15</v>
      </c>
      <c r="H4442" t="s">
        <v>16</v>
      </c>
      <c r="I4442" t="s">
        <v>603</v>
      </c>
      <c r="J4442" t="s">
        <v>604</v>
      </c>
      <c r="K4442" t="s">
        <v>1809</v>
      </c>
      <c r="L4442" t="str">
        <f>HYPERLINK("https://business-monitor.ch/de/companies/542956-reitsport-schrepfer?utm_source=oberaargau","PROFIL ANSEHEN")</f>
        <v>PROFIL ANSEHEN</v>
      </c>
    </row>
    <row r="4443" spans="1:12" x14ac:dyDescent="0.2">
      <c r="A4443" t="s">
        <v>12022</v>
      </c>
      <c r="B4443" t="s">
        <v>12023</v>
      </c>
      <c r="C4443" t="s">
        <v>13</v>
      </c>
      <c r="E4443" t="s">
        <v>9571</v>
      </c>
      <c r="F4443">
        <v>4704</v>
      </c>
      <c r="G4443" t="s">
        <v>221</v>
      </c>
      <c r="H4443" t="s">
        <v>16</v>
      </c>
      <c r="I4443" t="s">
        <v>679</v>
      </c>
      <c r="J4443" t="s">
        <v>680</v>
      </c>
      <c r="K4443" t="s">
        <v>1809</v>
      </c>
      <c r="L4443" t="str">
        <f>HYPERLINK("https://business-monitor.ch/de/companies/1176997-schuetz-innenausbau-ag?utm_source=oberaargau","PROFIL ANSEHEN")</f>
        <v>PROFIL ANSEHEN</v>
      </c>
    </row>
    <row r="4444" spans="1:12" x14ac:dyDescent="0.2">
      <c r="A4444" t="s">
        <v>4695</v>
      </c>
      <c r="B4444" t="s">
        <v>4696</v>
      </c>
      <c r="C4444" t="s">
        <v>202</v>
      </c>
      <c r="E4444" t="s">
        <v>678</v>
      </c>
      <c r="F4444">
        <v>3360</v>
      </c>
      <c r="G4444" t="s">
        <v>35</v>
      </c>
      <c r="H4444" t="s">
        <v>16</v>
      </c>
      <c r="I4444" t="s">
        <v>679</v>
      </c>
      <c r="J4444" t="s">
        <v>680</v>
      </c>
      <c r="K4444" t="s">
        <v>1809</v>
      </c>
      <c r="L4444" t="str">
        <f>HYPERLINK("https://business-monitor.ch/de/companies/606362-suemi-schreinerei-gmbh?utm_source=oberaargau","PROFIL ANSEHEN")</f>
        <v>PROFIL ANSEHEN</v>
      </c>
    </row>
    <row r="4445" spans="1:12" x14ac:dyDescent="0.2">
      <c r="A4445" t="s">
        <v>11644</v>
      </c>
      <c r="B4445" t="s">
        <v>11645</v>
      </c>
      <c r="C4445" t="s">
        <v>13</v>
      </c>
      <c r="E4445" t="s">
        <v>14670</v>
      </c>
      <c r="F4445">
        <v>4922</v>
      </c>
      <c r="G4445" t="s">
        <v>1318</v>
      </c>
      <c r="H4445" t="s">
        <v>16</v>
      </c>
      <c r="I4445" t="s">
        <v>935</v>
      </c>
      <c r="J4445" t="s">
        <v>936</v>
      </c>
      <c r="K4445" t="s">
        <v>1809</v>
      </c>
      <c r="L4445" t="str">
        <f>HYPERLINK("https://business-monitor.ch/de/companies/1158299-rsas-ag?utm_source=oberaargau","PROFIL ANSEHEN")</f>
        <v>PROFIL ANSEHEN</v>
      </c>
    </row>
    <row r="4446" spans="1:12" x14ac:dyDescent="0.2">
      <c r="A4446" t="s">
        <v>5994</v>
      </c>
      <c r="B4446" t="s">
        <v>5995</v>
      </c>
      <c r="C4446" t="s">
        <v>202</v>
      </c>
      <c r="E4446" t="s">
        <v>5996</v>
      </c>
      <c r="F4446">
        <v>4704</v>
      </c>
      <c r="G4446" t="s">
        <v>221</v>
      </c>
      <c r="H4446" t="s">
        <v>16</v>
      </c>
      <c r="I4446" t="s">
        <v>1818</v>
      </c>
      <c r="J4446" t="s">
        <v>1819</v>
      </c>
      <c r="K4446" t="s">
        <v>1809</v>
      </c>
      <c r="L4446" t="str">
        <f>HYPERLINK("https://business-monitor.ch/de/companies/450326-gvc-gmbh?utm_source=oberaargau","PROFIL ANSEHEN")</f>
        <v>PROFIL ANSEHEN</v>
      </c>
    </row>
    <row r="4447" spans="1:12" x14ac:dyDescent="0.2">
      <c r="A4447" t="s">
        <v>10312</v>
      </c>
      <c r="B4447" t="s">
        <v>10313</v>
      </c>
      <c r="C4447" t="s">
        <v>202</v>
      </c>
      <c r="D4447" t="s">
        <v>10314</v>
      </c>
      <c r="E4447" t="s">
        <v>3663</v>
      </c>
      <c r="F4447">
        <v>4917</v>
      </c>
      <c r="G4447" t="s">
        <v>376</v>
      </c>
      <c r="H4447" t="s">
        <v>16</v>
      </c>
      <c r="I4447" t="s">
        <v>186</v>
      </c>
      <c r="J4447" t="s">
        <v>187</v>
      </c>
      <c r="K4447" t="s">
        <v>1809</v>
      </c>
      <c r="L4447" t="str">
        <f>HYPERLINK("https://business-monitor.ch/de/companies/557454-schreinerei-kunz-holding-gmbh?utm_source=oberaargau","PROFIL ANSEHEN")</f>
        <v>PROFIL ANSEHEN</v>
      </c>
    </row>
    <row r="4448" spans="1:12" x14ac:dyDescent="0.2">
      <c r="A4448" t="s">
        <v>9036</v>
      </c>
      <c r="B4448" t="s">
        <v>9037</v>
      </c>
      <c r="C4448" t="s">
        <v>202</v>
      </c>
      <c r="E4448" t="s">
        <v>9038</v>
      </c>
      <c r="F4448">
        <v>4912</v>
      </c>
      <c r="G4448" t="s">
        <v>64</v>
      </c>
      <c r="H4448" t="s">
        <v>16</v>
      </c>
      <c r="I4448" t="s">
        <v>260</v>
      </c>
      <c r="J4448" t="s">
        <v>261</v>
      </c>
      <c r="K4448" t="s">
        <v>1809</v>
      </c>
      <c r="L4448" t="str">
        <f>HYPERLINK("https://business-monitor.ch/de/companies/212931-baubegleitung-peter-saegesser-gmbh?utm_source=oberaargau","PROFIL ANSEHEN")</f>
        <v>PROFIL ANSEHEN</v>
      </c>
    </row>
    <row r="4449" spans="1:12" x14ac:dyDescent="0.2">
      <c r="A4449" t="s">
        <v>1954</v>
      </c>
      <c r="B4449" t="s">
        <v>1955</v>
      </c>
      <c r="C4449" t="s">
        <v>1812</v>
      </c>
      <c r="E4449" t="s">
        <v>1956</v>
      </c>
      <c r="F4449">
        <v>3360</v>
      </c>
      <c r="G4449" t="s">
        <v>35</v>
      </c>
      <c r="H4449" t="s">
        <v>16</v>
      </c>
      <c r="I4449" t="s">
        <v>913</v>
      </c>
      <c r="J4449" t="s">
        <v>914</v>
      </c>
      <c r="K4449" t="s">
        <v>1809</v>
      </c>
      <c r="L4449" t="str">
        <f>HYPERLINK("https://business-monitor.ch/de/companies/224781-gustoil-schuepbach?utm_source=oberaargau","PROFIL ANSEHEN")</f>
        <v>PROFIL ANSEHEN</v>
      </c>
    </row>
    <row r="4450" spans="1:12" x14ac:dyDescent="0.2">
      <c r="A4450" t="s">
        <v>9242</v>
      </c>
      <c r="B4450" t="s">
        <v>9243</v>
      </c>
      <c r="C4450" t="s">
        <v>202</v>
      </c>
      <c r="E4450" t="s">
        <v>11775</v>
      </c>
      <c r="F4450">
        <v>4922</v>
      </c>
      <c r="G4450" t="s">
        <v>1318</v>
      </c>
      <c r="H4450" t="s">
        <v>16</v>
      </c>
      <c r="I4450" t="s">
        <v>551</v>
      </c>
      <c r="J4450" t="s">
        <v>552</v>
      </c>
      <c r="K4450" t="s">
        <v>1809</v>
      </c>
      <c r="L4450" t="str">
        <f>HYPERLINK("https://business-monitor.ch/de/companies/121900-eb-marketing-vertriebs-consulting-gmbh?utm_source=oberaargau","PROFIL ANSEHEN")</f>
        <v>PROFIL ANSEHEN</v>
      </c>
    </row>
    <row r="4451" spans="1:12" x14ac:dyDescent="0.2">
      <c r="A4451" t="s">
        <v>12041</v>
      </c>
      <c r="B4451" t="s">
        <v>12042</v>
      </c>
      <c r="C4451" t="s">
        <v>13</v>
      </c>
      <c r="E4451" t="s">
        <v>12043</v>
      </c>
      <c r="F4451">
        <v>4933</v>
      </c>
      <c r="G4451" t="s">
        <v>3812</v>
      </c>
      <c r="H4451" t="s">
        <v>16</v>
      </c>
      <c r="I4451" t="s">
        <v>2939</v>
      </c>
      <c r="J4451" t="s">
        <v>2940</v>
      </c>
      <c r="K4451" t="s">
        <v>1809</v>
      </c>
      <c r="L4451" t="str">
        <f>HYPERLINK("https://business-monitor.ch/de/companies/1074670-blacktip-ag?utm_source=oberaargau","PROFIL ANSEHEN")</f>
        <v>PROFIL ANSEHEN</v>
      </c>
    </row>
    <row r="4452" spans="1:12" x14ac:dyDescent="0.2">
      <c r="A4452" t="s">
        <v>12481</v>
      </c>
      <c r="B4452" t="s">
        <v>12482</v>
      </c>
      <c r="C4452" t="s">
        <v>202</v>
      </c>
      <c r="E4452" t="s">
        <v>5312</v>
      </c>
      <c r="F4452">
        <v>4900</v>
      </c>
      <c r="G4452" t="s">
        <v>41</v>
      </c>
      <c r="H4452" t="s">
        <v>16</v>
      </c>
      <c r="I4452" t="s">
        <v>4039</v>
      </c>
      <c r="J4452" t="s">
        <v>4040</v>
      </c>
      <c r="K4452" t="s">
        <v>1809</v>
      </c>
      <c r="L4452" t="str">
        <f>HYPERLINK("https://business-monitor.ch/de/companies/1214562-crossfit-fortyninezero-gmbh?utm_source=oberaargau","PROFIL ANSEHEN")</f>
        <v>PROFIL ANSEHEN</v>
      </c>
    </row>
    <row r="4453" spans="1:12" x14ac:dyDescent="0.2">
      <c r="A4453" t="s">
        <v>10092</v>
      </c>
      <c r="B4453" t="s">
        <v>10093</v>
      </c>
      <c r="C4453" t="s">
        <v>1812</v>
      </c>
      <c r="E4453" t="s">
        <v>2521</v>
      </c>
      <c r="F4453">
        <v>4914</v>
      </c>
      <c r="G4453" t="s">
        <v>105</v>
      </c>
      <c r="H4453" t="s">
        <v>16</v>
      </c>
      <c r="I4453" t="s">
        <v>1835</v>
      </c>
      <c r="J4453" t="s">
        <v>1836</v>
      </c>
      <c r="K4453" t="s">
        <v>1809</v>
      </c>
      <c r="L4453" t="str">
        <f>HYPERLINK("https://business-monitor.ch/de/companies/678629-kristina-s-reinigungen-benchedly?utm_source=oberaargau","PROFIL ANSEHEN")</f>
        <v>PROFIL ANSEHEN</v>
      </c>
    </row>
    <row r="4454" spans="1:12" x14ac:dyDescent="0.2">
      <c r="A4454" t="s">
        <v>9736</v>
      </c>
      <c r="B4454" t="s">
        <v>9737</v>
      </c>
      <c r="C4454" t="s">
        <v>202</v>
      </c>
      <c r="E4454" t="s">
        <v>9738</v>
      </c>
      <c r="F4454">
        <v>4704</v>
      </c>
      <c r="G4454" t="s">
        <v>221</v>
      </c>
      <c r="H4454" t="s">
        <v>16</v>
      </c>
      <c r="I4454" t="s">
        <v>570</v>
      </c>
      <c r="J4454" t="s">
        <v>571</v>
      </c>
      <c r="K4454" t="s">
        <v>1809</v>
      </c>
      <c r="L4454" t="str">
        <f>HYPERLINK("https://business-monitor.ch/de/companies/1035469-berchtold-kaeltetechnik-gmbh?utm_source=oberaargau","PROFIL ANSEHEN")</f>
        <v>PROFIL ANSEHEN</v>
      </c>
    </row>
    <row r="4455" spans="1:12" x14ac:dyDescent="0.2">
      <c r="A4455" t="s">
        <v>3911</v>
      </c>
      <c r="B4455" t="s">
        <v>3912</v>
      </c>
      <c r="C4455" t="s">
        <v>202</v>
      </c>
      <c r="E4455" t="s">
        <v>3913</v>
      </c>
      <c r="F4455">
        <v>3360</v>
      </c>
      <c r="G4455" t="s">
        <v>35</v>
      </c>
      <c r="H4455" t="s">
        <v>16</v>
      </c>
      <c r="I4455" t="s">
        <v>928</v>
      </c>
      <c r="J4455" t="s">
        <v>929</v>
      </c>
      <c r="K4455" t="s">
        <v>1809</v>
      </c>
      <c r="L4455" t="str">
        <f>HYPERLINK("https://business-monitor.ch/de/companies/946980-kochtoepfli-gmbh?utm_source=oberaargau","PROFIL ANSEHEN")</f>
        <v>PROFIL ANSEHEN</v>
      </c>
    </row>
    <row r="4456" spans="1:12" x14ac:dyDescent="0.2">
      <c r="A4456" t="s">
        <v>13480</v>
      </c>
      <c r="B4456" t="s">
        <v>13481</v>
      </c>
      <c r="C4456" t="s">
        <v>1812</v>
      </c>
      <c r="E4456" t="s">
        <v>10756</v>
      </c>
      <c r="F4456">
        <v>4934</v>
      </c>
      <c r="G4456" t="s">
        <v>670</v>
      </c>
      <c r="H4456" t="s">
        <v>16</v>
      </c>
      <c r="I4456" t="s">
        <v>824</v>
      </c>
      <c r="J4456" t="s">
        <v>825</v>
      </c>
      <c r="K4456" t="s">
        <v>1809</v>
      </c>
      <c r="L4456" t="str">
        <f>HYPERLINK("https://business-monitor.ch/de/companies/1250089-cafe-ascot-karter?utm_source=oberaargau","PROFIL ANSEHEN")</f>
        <v>PROFIL ANSEHEN</v>
      </c>
    </row>
    <row r="4457" spans="1:12" x14ac:dyDescent="0.2">
      <c r="A4457" t="s">
        <v>8722</v>
      </c>
      <c r="B4457" t="s">
        <v>8723</v>
      </c>
      <c r="C4457" t="s">
        <v>202</v>
      </c>
      <c r="E4457" t="s">
        <v>8724</v>
      </c>
      <c r="F4457">
        <v>3380</v>
      </c>
      <c r="G4457" t="s">
        <v>6782</v>
      </c>
      <c r="H4457" t="s">
        <v>16</v>
      </c>
      <c r="I4457" t="s">
        <v>2748</v>
      </c>
      <c r="J4457" t="s">
        <v>2749</v>
      </c>
      <c r="K4457" t="s">
        <v>1809</v>
      </c>
      <c r="L4457" t="str">
        <f>HYPERLINK("https://business-monitor.ch/de/companies/390011-kaesermann-allround-gmbh?utm_source=oberaargau","PROFIL ANSEHEN")</f>
        <v>PROFIL ANSEHEN</v>
      </c>
    </row>
    <row r="4458" spans="1:12" x14ac:dyDescent="0.2">
      <c r="A4458" t="s">
        <v>4923</v>
      </c>
      <c r="B4458" t="s">
        <v>4924</v>
      </c>
      <c r="C4458" t="s">
        <v>13</v>
      </c>
      <c r="D4458" t="s">
        <v>4925</v>
      </c>
      <c r="E4458" t="s">
        <v>1666</v>
      </c>
      <c r="F4458">
        <v>4900</v>
      </c>
      <c r="G4458" t="s">
        <v>41</v>
      </c>
      <c r="H4458" t="s">
        <v>16</v>
      </c>
      <c r="I4458" t="s">
        <v>182</v>
      </c>
      <c r="J4458" t="s">
        <v>183</v>
      </c>
      <c r="K4458" t="s">
        <v>1809</v>
      </c>
      <c r="L4458" t="str">
        <f>HYPERLINK("https://business-monitor.ch/de/companies/941092-mcpm-holding-ag?utm_source=oberaargau","PROFIL ANSEHEN")</f>
        <v>PROFIL ANSEHEN</v>
      </c>
    </row>
    <row r="4459" spans="1:12" x14ac:dyDescent="0.2">
      <c r="A4459" t="s">
        <v>7430</v>
      </c>
      <c r="B4459" t="s">
        <v>7431</v>
      </c>
      <c r="C4459" t="s">
        <v>202</v>
      </c>
      <c r="E4459" t="s">
        <v>5180</v>
      </c>
      <c r="F4459">
        <v>4538</v>
      </c>
      <c r="G4459" t="s">
        <v>71</v>
      </c>
      <c r="H4459" t="s">
        <v>16</v>
      </c>
      <c r="I4459" t="s">
        <v>175</v>
      </c>
      <c r="J4459" t="s">
        <v>176</v>
      </c>
      <c r="K4459" t="s">
        <v>1809</v>
      </c>
      <c r="L4459" t="str">
        <f>HYPERLINK("https://business-monitor.ch/de/companies/949263-carrosserie-simon-gmbh?utm_source=oberaargau","PROFIL ANSEHEN")</f>
        <v>PROFIL ANSEHEN</v>
      </c>
    </row>
    <row r="4460" spans="1:12" x14ac:dyDescent="0.2">
      <c r="A4460" t="s">
        <v>8889</v>
      </c>
      <c r="B4460" t="s">
        <v>8890</v>
      </c>
      <c r="C4460" t="s">
        <v>202</v>
      </c>
      <c r="E4460" t="s">
        <v>5754</v>
      </c>
      <c r="F4460">
        <v>4950</v>
      </c>
      <c r="G4460" t="s">
        <v>15</v>
      </c>
      <c r="H4460" t="s">
        <v>16</v>
      </c>
      <c r="I4460" t="s">
        <v>824</v>
      </c>
      <c r="J4460" t="s">
        <v>825</v>
      </c>
      <c r="K4460" t="s">
        <v>1809</v>
      </c>
      <c r="L4460" t="str">
        <f>HYPERLINK("https://business-monitor.ch/de/companies/303037-vagator-gmbh?utm_source=oberaargau","PROFIL ANSEHEN")</f>
        <v>PROFIL ANSEHEN</v>
      </c>
    </row>
    <row r="4461" spans="1:12" x14ac:dyDescent="0.2">
      <c r="A4461" t="s">
        <v>12129</v>
      </c>
      <c r="B4461" t="s">
        <v>12130</v>
      </c>
      <c r="C4461" t="s">
        <v>202</v>
      </c>
      <c r="E4461" t="s">
        <v>4119</v>
      </c>
      <c r="F4461">
        <v>3360</v>
      </c>
      <c r="G4461" t="s">
        <v>35</v>
      </c>
      <c r="H4461" t="s">
        <v>16</v>
      </c>
      <c r="I4461" t="s">
        <v>824</v>
      </c>
      <c r="J4461" t="s">
        <v>825</v>
      </c>
      <c r="K4461" t="s">
        <v>1809</v>
      </c>
      <c r="L4461" t="str">
        <f>HYPERLINK("https://business-monitor.ch/de/companies/1187554-ffeda-gmbh?utm_source=oberaargau","PROFIL ANSEHEN")</f>
        <v>PROFIL ANSEHEN</v>
      </c>
    </row>
    <row r="4462" spans="1:12" x14ac:dyDescent="0.2">
      <c r="A4462" t="s">
        <v>8774</v>
      </c>
      <c r="B4462" t="s">
        <v>8775</v>
      </c>
      <c r="C4462" t="s">
        <v>202</v>
      </c>
      <c r="E4462" t="s">
        <v>8776</v>
      </c>
      <c r="F4462">
        <v>4914</v>
      </c>
      <c r="G4462" t="s">
        <v>717</v>
      </c>
      <c r="H4462" t="s">
        <v>16</v>
      </c>
      <c r="I4462" t="s">
        <v>5658</v>
      </c>
      <c r="J4462" t="s">
        <v>5659</v>
      </c>
      <c r="K4462" t="s">
        <v>1809</v>
      </c>
      <c r="L4462" t="str">
        <f>HYPERLINK("https://business-monitor.ch/de/companies/361880-guido-buri-gmbh?utm_source=oberaargau","PROFIL ANSEHEN")</f>
        <v>PROFIL ANSEHEN</v>
      </c>
    </row>
    <row r="4463" spans="1:12" x14ac:dyDescent="0.2">
      <c r="A4463" t="s">
        <v>3180</v>
      </c>
      <c r="B4463" t="s">
        <v>3181</v>
      </c>
      <c r="C4463" t="s">
        <v>13</v>
      </c>
      <c r="E4463" t="s">
        <v>3182</v>
      </c>
      <c r="F4463">
        <v>4938</v>
      </c>
      <c r="G4463" t="s">
        <v>1909</v>
      </c>
      <c r="H4463" t="s">
        <v>16</v>
      </c>
      <c r="I4463" t="s">
        <v>679</v>
      </c>
      <c r="J4463" t="s">
        <v>680</v>
      </c>
      <c r="K4463" t="s">
        <v>1809</v>
      </c>
      <c r="L4463" t="str">
        <f>HYPERLINK("https://business-monitor.ch/de/companies/294819-scheidegger-ag-schreinerei-holzbau?utm_source=oberaargau","PROFIL ANSEHEN")</f>
        <v>PROFIL ANSEHEN</v>
      </c>
    </row>
    <row r="4464" spans="1:12" x14ac:dyDescent="0.2">
      <c r="A4464" t="s">
        <v>11395</v>
      </c>
      <c r="B4464" t="s">
        <v>12202</v>
      </c>
      <c r="C4464" t="s">
        <v>1812</v>
      </c>
      <c r="E4464" t="s">
        <v>11396</v>
      </c>
      <c r="F4464">
        <v>4900</v>
      </c>
      <c r="G4464" t="s">
        <v>41</v>
      </c>
      <c r="H4464" t="s">
        <v>16</v>
      </c>
      <c r="I4464" t="s">
        <v>838</v>
      </c>
      <c r="J4464" t="s">
        <v>839</v>
      </c>
      <c r="K4464" t="s">
        <v>1809</v>
      </c>
      <c r="L4464" t="str">
        <f>HYPERLINK("https://business-monitor.ch/de/companies/1135675-quarta-manuela-subprint?utm_source=oberaargau","PROFIL ANSEHEN")</f>
        <v>PROFIL ANSEHEN</v>
      </c>
    </row>
    <row r="4465" spans="1:12" x14ac:dyDescent="0.2">
      <c r="A4465" t="s">
        <v>12394</v>
      </c>
      <c r="B4465" t="s">
        <v>12395</v>
      </c>
      <c r="C4465" t="s">
        <v>202</v>
      </c>
      <c r="E4465" t="s">
        <v>1893</v>
      </c>
      <c r="F4465">
        <v>4900</v>
      </c>
      <c r="G4465" t="s">
        <v>41</v>
      </c>
      <c r="H4465" t="s">
        <v>16</v>
      </c>
      <c r="I4465" t="s">
        <v>2748</v>
      </c>
      <c r="J4465" t="s">
        <v>2749</v>
      </c>
      <c r="K4465" t="s">
        <v>1809</v>
      </c>
      <c r="L4465" t="str">
        <f>HYPERLINK("https://business-monitor.ch/de/companies/265886-coast-to-coast-ctc-gmbh?utm_source=oberaargau","PROFIL ANSEHEN")</f>
        <v>PROFIL ANSEHEN</v>
      </c>
    </row>
    <row r="4466" spans="1:12" x14ac:dyDescent="0.2">
      <c r="A4466" t="s">
        <v>10174</v>
      </c>
      <c r="B4466" t="s">
        <v>10175</v>
      </c>
      <c r="C4466" t="s">
        <v>202</v>
      </c>
      <c r="E4466" t="s">
        <v>10176</v>
      </c>
      <c r="F4466">
        <v>4912</v>
      </c>
      <c r="G4466" t="s">
        <v>64</v>
      </c>
      <c r="H4466" t="s">
        <v>16</v>
      </c>
      <c r="I4466" t="s">
        <v>5080</v>
      </c>
      <c r="J4466" t="s">
        <v>5081</v>
      </c>
      <c r="K4466" t="s">
        <v>1809</v>
      </c>
      <c r="L4466" t="str">
        <f>HYPERLINK("https://business-monitor.ch/de/companies/637038-kitamu-gmbh?utm_source=oberaargau","PROFIL ANSEHEN")</f>
        <v>PROFIL ANSEHEN</v>
      </c>
    </row>
    <row r="4467" spans="1:12" x14ac:dyDescent="0.2">
      <c r="A4467" t="s">
        <v>10025</v>
      </c>
      <c r="B4467" t="s">
        <v>10026</v>
      </c>
      <c r="C4467" t="s">
        <v>202</v>
      </c>
      <c r="E4467" t="s">
        <v>5227</v>
      </c>
      <c r="F4467">
        <v>4900</v>
      </c>
      <c r="G4467" t="s">
        <v>41</v>
      </c>
      <c r="H4467" t="s">
        <v>16</v>
      </c>
      <c r="I4467" t="s">
        <v>2226</v>
      </c>
      <c r="J4467" t="s">
        <v>2227</v>
      </c>
      <c r="K4467" t="s">
        <v>1809</v>
      </c>
      <c r="L4467" t="str">
        <f>HYPERLINK("https://business-monitor.ch/de/companies/702984-physiotherapie-ulmenhof-gmbh?utm_source=oberaargau","PROFIL ANSEHEN")</f>
        <v>PROFIL ANSEHEN</v>
      </c>
    </row>
    <row r="4468" spans="1:12" x14ac:dyDescent="0.2">
      <c r="A4468" t="s">
        <v>8818</v>
      </c>
      <c r="B4468" t="s">
        <v>8819</v>
      </c>
      <c r="C4468" t="s">
        <v>13</v>
      </c>
      <c r="E4468" t="s">
        <v>6722</v>
      </c>
      <c r="F4468">
        <v>4932</v>
      </c>
      <c r="G4468" t="s">
        <v>325</v>
      </c>
      <c r="H4468" t="s">
        <v>16</v>
      </c>
      <c r="I4468" t="s">
        <v>2440</v>
      </c>
      <c r="J4468" t="s">
        <v>2441</v>
      </c>
      <c r="K4468" t="s">
        <v>1809</v>
      </c>
      <c r="L4468" t="str">
        <f>HYPERLINK("https://business-monitor.ch/de/companies/347749-abc-parkett-und-teppichmarkt-ag?utm_source=oberaargau","PROFIL ANSEHEN")</f>
        <v>PROFIL ANSEHEN</v>
      </c>
    </row>
    <row r="4469" spans="1:12" x14ac:dyDescent="0.2">
      <c r="A4469" t="s">
        <v>3463</v>
      </c>
      <c r="B4469" t="s">
        <v>5461</v>
      </c>
      <c r="C4469" t="s">
        <v>1812</v>
      </c>
      <c r="E4469" t="s">
        <v>5462</v>
      </c>
      <c r="F4469">
        <v>3380</v>
      </c>
      <c r="G4469" t="s">
        <v>29</v>
      </c>
      <c r="H4469" t="s">
        <v>16</v>
      </c>
      <c r="I4469" t="s">
        <v>331</v>
      </c>
      <c r="J4469" t="s">
        <v>332</v>
      </c>
      <c r="K4469" t="s">
        <v>1809</v>
      </c>
      <c r="L4469" t="str">
        <f>HYPERLINK("https://business-monitor.ch/de/companies/203298-buwi-urs-ingold?utm_source=oberaargau","PROFIL ANSEHEN")</f>
        <v>PROFIL ANSEHEN</v>
      </c>
    </row>
    <row r="4470" spans="1:12" x14ac:dyDescent="0.2">
      <c r="A4470" t="s">
        <v>8742</v>
      </c>
      <c r="B4470" t="s">
        <v>8743</v>
      </c>
      <c r="C4470" t="s">
        <v>13</v>
      </c>
      <c r="D4470" t="s">
        <v>8739</v>
      </c>
      <c r="E4470" t="s">
        <v>7153</v>
      </c>
      <c r="F4470">
        <v>4704</v>
      </c>
      <c r="G4470" t="s">
        <v>221</v>
      </c>
      <c r="H4470" t="s">
        <v>16</v>
      </c>
      <c r="I4470" t="s">
        <v>935</v>
      </c>
      <c r="J4470" t="s">
        <v>936</v>
      </c>
      <c r="K4470" t="s">
        <v>1809</v>
      </c>
      <c r="L4470" t="str">
        <f>HYPERLINK("https://business-monitor.ch/de/companies/379378-haudenschild-immo-ag?utm_source=oberaargau","PROFIL ANSEHEN")</f>
        <v>PROFIL ANSEHEN</v>
      </c>
    </row>
    <row r="4471" spans="1:12" x14ac:dyDescent="0.2">
      <c r="A4471" t="s">
        <v>11335</v>
      </c>
      <c r="B4471" t="s">
        <v>11336</v>
      </c>
      <c r="C4471" t="s">
        <v>1812</v>
      </c>
      <c r="E4471" t="s">
        <v>1854</v>
      </c>
      <c r="F4471">
        <v>3360</v>
      </c>
      <c r="G4471" t="s">
        <v>35</v>
      </c>
      <c r="H4471" t="s">
        <v>16</v>
      </c>
      <c r="I4471" t="s">
        <v>1855</v>
      </c>
      <c r="J4471" t="s">
        <v>1856</v>
      </c>
      <c r="K4471" t="s">
        <v>1809</v>
      </c>
      <c r="L4471" t="str">
        <f>HYPERLINK("https://business-monitor.ch/de/companies/1136149-bella-piu-cosmetic-inh-adamo?utm_source=oberaargau","PROFIL ANSEHEN")</f>
        <v>PROFIL ANSEHEN</v>
      </c>
    </row>
    <row r="4472" spans="1:12" x14ac:dyDescent="0.2">
      <c r="A4472" t="s">
        <v>7718</v>
      </c>
      <c r="B4472" t="s">
        <v>7719</v>
      </c>
      <c r="C4472" t="s">
        <v>13</v>
      </c>
      <c r="E4472" t="s">
        <v>3649</v>
      </c>
      <c r="F4472">
        <v>3380</v>
      </c>
      <c r="G4472" t="s">
        <v>29</v>
      </c>
      <c r="H4472" t="s">
        <v>16</v>
      </c>
      <c r="I4472" t="s">
        <v>298</v>
      </c>
      <c r="J4472" t="s">
        <v>299</v>
      </c>
      <c r="K4472" t="s">
        <v>1809</v>
      </c>
      <c r="L4472" t="str">
        <f>HYPERLINK("https://business-monitor.ch/de/companies/598220-pfennig-reinigungstechnik-ag?utm_source=oberaargau","PROFIL ANSEHEN")</f>
        <v>PROFIL ANSEHEN</v>
      </c>
    </row>
    <row r="4473" spans="1:12" x14ac:dyDescent="0.2">
      <c r="A4473" t="s">
        <v>8603</v>
      </c>
      <c r="B4473" t="s">
        <v>8604</v>
      </c>
      <c r="C4473" t="s">
        <v>202</v>
      </c>
      <c r="E4473" t="s">
        <v>14189</v>
      </c>
      <c r="F4473">
        <v>4935</v>
      </c>
      <c r="G4473" t="s">
        <v>443</v>
      </c>
      <c r="H4473" t="s">
        <v>16</v>
      </c>
      <c r="I4473" t="s">
        <v>1598</v>
      </c>
      <c r="J4473" t="s">
        <v>1599</v>
      </c>
      <c r="K4473" t="s">
        <v>1809</v>
      </c>
      <c r="L4473" t="str">
        <f>HYPERLINK("https://business-monitor.ch/de/companies/460582-kundenmetzgerei-kaeser-gmbh?utm_source=oberaargau","PROFIL ANSEHEN")</f>
        <v>PROFIL ANSEHEN</v>
      </c>
    </row>
    <row r="4474" spans="1:12" x14ac:dyDescent="0.2">
      <c r="A4474" t="s">
        <v>12061</v>
      </c>
      <c r="B4474" t="s">
        <v>12062</v>
      </c>
      <c r="C4474" t="s">
        <v>202</v>
      </c>
      <c r="E4474" t="s">
        <v>12063</v>
      </c>
      <c r="F4474">
        <v>4922</v>
      </c>
      <c r="G4474" t="s">
        <v>99</v>
      </c>
      <c r="H4474" t="s">
        <v>16</v>
      </c>
      <c r="I4474" t="s">
        <v>260</v>
      </c>
      <c r="J4474" t="s">
        <v>261</v>
      </c>
      <c r="K4474" t="s">
        <v>1809</v>
      </c>
      <c r="L4474" t="str">
        <f>HYPERLINK("https://business-monitor.ch/de/companies/1187915-sbm-baumanagement-gmbh?utm_source=oberaargau","PROFIL ANSEHEN")</f>
        <v>PROFIL ANSEHEN</v>
      </c>
    </row>
    <row r="4475" spans="1:12" x14ac:dyDescent="0.2">
      <c r="A4475" t="s">
        <v>11562</v>
      </c>
      <c r="B4475" t="s">
        <v>11563</v>
      </c>
      <c r="C4475" t="s">
        <v>1812</v>
      </c>
      <c r="E4475" t="s">
        <v>11564</v>
      </c>
      <c r="F4475">
        <v>3363</v>
      </c>
      <c r="G4475" t="s">
        <v>1367</v>
      </c>
      <c r="H4475" t="s">
        <v>16</v>
      </c>
      <c r="I4475" t="s">
        <v>11565</v>
      </c>
      <c r="J4475" t="s">
        <v>11566</v>
      </c>
      <c r="K4475" t="s">
        <v>1809</v>
      </c>
      <c r="L4475" t="str">
        <f>HYPERLINK("https://business-monitor.ch/de/companies/287219-gerber-production?utm_source=oberaargau","PROFIL ANSEHEN")</f>
        <v>PROFIL ANSEHEN</v>
      </c>
    </row>
    <row r="4476" spans="1:12" x14ac:dyDescent="0.2">
      <c r="A4476" t="s">
        <v>4687</v>
      </c>
      <c r="B4476" t="s">
        <v>4688</v>
      </c>
      <c r="C4476" t="s">
        <v>202</v>
      </c>
      <c r="E4476" t="s">
        <v>4689</v>
      </c>
      <c r="F4476">
        <v>3377</v>
      </c>
      <c r="G4476" t="s">
        <v>1220</v>
      </c>
      <c r="H4476" t="s">
        <v>16</v>
      </c>
      <c r="I4476" t="s">
        <v>1744</v>
      </c>
      <c r="J4476" t="s">
        <v>1745</v>
      </c>
      <c r="K4476" t="s">
        <v>1809</v>
      </c>
      <c r="L4476" t="str">
        <f>HYPERLINK("https://business-monitor.ch/de/companies/608306-immoself-gmbh?utm_source=oberaargau","PROFIL ANSEHEN")</f>
        <v>PROFIL ANSEHEN</v>
      </c>
    </row>
    <row r="4477" spans="1:12" x14ac:dyDescent="0.2">
      <c r="A4477" t="s">
        <v>8288</v>
      </c>
      <c r="B4477" t="s">
        <v>2465</v>
      </c>
      <c r="C4477" t="s">
        <v>1812</v>
      </c>
      <c r="E4477" t="s">
        <v>8289</v>
      </c>
      <c r="F4477">
        <v>3373</v>
      </c>
      <c r="G4477" t="s">
        <v>2429</v>
      </c>
      <c r="H4477" t="s">
        <v>16</v>
      </c>
      <c r="I4477" t="s">
        <v>824</v>
      </c>
      <c r="J4477" t="s">
        <v>825</v>
      </c>
      <c r="K4477" t="s">
        <v>1809</v>
      </c>
      <c r="L4477" t="str">
        <f>HYPERLINK("https://business-monitor.ch/de/companies/1060575-therese-anita-heiniger-muhmenthaler?utm_source=oberaargau","PROFIL ANSEHEN")</f>
        <v>PROFIL ANSEHEN</v>
      </c>
    </row>
    <row r="4478" spans="1:12" x14ac:dyDescent="0.2">
      <c r="A4478" t="s">
        <v>10170</v>
      </c>
      <c r="B4478" t="s">
        <v>10171</v>
      </c>
      <c r="C4478" t="s">
        <v>202</v>
      </c>
      <c r="E4478" t="s">
        <v>4717</v>
      </c>
      <c r="F4478">
        <v>4900</v>
      </c>
      <c r="G4478" t="s">
        <v>41</v>
      </c>
      <c r="H4478" t="s">
        <v>16</v>
      </c>
      <c r="I4478" t="s">
        <v>1818</v>
      </c>
      <c r="J4478" t="s">
        <v>1819</v>
      </c>
      <c r="K4478" t="s">
        <v>1809</v>
      </c>
      <c r="L4478" t="str">
        <f>HYPERLINK("https://business-monitor.ch/de/companies/644843-mushica-consulting-gmbh?utm_source=oberaargau","PROFIL ANSEHEN")</f>
        <v>PROFIL ANSEHEN</v>
      </c>
    </row>
    <row r="4479" spans="1:12" x14ac:dyDescent="0.2">
      <c r="A4479" t="s">
        <v>10164</v>
      </c>
      <c r="B4479" t="s">
        <v>10165</v>
      </c>
      <c r="C4479" t="s">
        <v>13</v>
      </c>
      <c r="D4479" t="s">
        <v>5218</v>
      </c>
      <c r="E4479" t="s">
        <v>5219</v>
      </c>
      <c r="F4479">
        <v>4900</v>
      </c>
      <c r="G4479" t="s">
        <v>41</v>
      </c>
      <c r="H4479" t="s">
        <v>16</v>
      </c>
      <c r="I4479" t="s">
        <v>186</v>
      </c>
      <c r="J4479" t="s">
        <v>187</v>
      </c>
      <c r="K4479" t="s">
        <v>1809</v>
      </c>
      <c r="L4479" t="str">
        <f>HYPERLINK("https://business-monitor.ch/de/companies/645565-sirius-a-holding-ag?utm_source=oberaargau","PROFIL ANSEHEN")</f>
        <v>PROFIL ANSEHEN</v>
      </c>
    </row>
    <row r="4480" spans="1:12" x14ac:dyDescent="0.2">
      <c r="A4480" t="s">
        <v>12358</v>
      </c>
      <c r="B4480" t="s">
        <v>12359</v>
      </c>
      <c r="C4480" t="s">
        <v>202</v>
      </c>
      <c r="E4480" t="s">
        <v>13245</v>
      </c>
      <c r="F4480">
        <v>4900</v>
      </c>
      <c r="G4480" t="s">
        <v>41</v>
      </c>
      <c r="H4480" t="s">
        <v>16</v>
      </c>
      <c r="I4480" t="s">
        <v>551</v>
      </c>
      <c r="J4480" t="s">
        <v>552</v>
      </c>
      <c r="K4480" t="s">
        <v>1809</v>
      </c>
      <c r="L4480" t="str">
        <f>HYPERLINK("https://business-monitor.ch/de/companies/1193752-bombadille-consulting-gmbh?utm_source=oberaargau","PROFIL ANSEHEN")</f>
        <v>PROFIL ANSEHEN</v>
      </c>
    </row>
    <row r="4481" spans="1:12" x14ac:dyDescent="0.2">
      <c r="A4481" t="s">
        <v>5796</v>
      </c>
      <c r="B4481" t="s">
        <v>5797</v>
      </c>
      <c r="C4481" t="s">
        <v>202</v>
      </c>
      <c r="E4481" t="s">
        <v>5798</v>
      </c>
      <c r="F4481">
        <v>4950</v>
      </c>
      <c r="G4481" t="s">
        <v>15</v>
      </c>
      <c r="H4481" t="s">
        <v>16</v>
      </c>
      <c r="I4481" t="s">
        <v>800</v>
      </c>
      <c r="J4481" t="s">
        <v>801</v>
      </c>
      <c r="K4481" t="s">
        <v>1809</v>
      </c>
      <c r="L4481" t="str">
        <f>HYPERLINK("https://business-monitor.ch/de/companies/984328-pronorma-gmbh?utm_source=oberaargau","PROFIL ANSEHEN")</f>
        <v>PROFIL ANSEHEN</v>
      </c>
    </row>
    <row r="4482" spans="1:12" x14ac:dyDescent="0.2">
      <c r="A4482" t="s">
        <v>8879</v>
      </c>
      <c r="B4482" t="s">
        <v>8880</v>
      </c>
      <c r="C4482" t="s">
        <v>1812</v>
      </c>
      <c r="E4482" t="s">
        <v>8881</v>
      </c>
      <c r="F4482">
        <v>4938</v>
      </c>
      <c r="G4482" t="s">
        <v>618</v>
      </c>
      <c r="H4482" t="s">
        <v>16</v>
      </c>
      <c r="I4482" t="s">
        <v>2849</v>
      </c>
      <c r="J4482" t="s">
        <v>2850</v>
      </c>
      <c r="K4482" t="s">
        <v>1809</v>
      </c>
      <c r="L4482" t="str">
        <f>HYPERLINK("https://business-monitor.ch/de/companies/309329-sozialprojekt-niko-derendinger?utm_source=oberaargau","PROFIL ANSEHEN")</f>
        <v>PROFIL ANSEHEN</v>
      </c>
    </row>
    <row r="4483" spans="1:12" x14ac:dyDescent="0.2">
      <c r="A4483" t="s">
        <v>10489</v>
      </c>
      <c r="B4483" t="s">
        <v>10490</v>
      </c>
      <c r="C4483" t="s">
        <v>1812</v>
      </c>
      <c r="E4483" t="s">
        <v>5889</v>
      </c>
      <c r="F4483">
        <v>4704</v>
      </c>
      <c r="G4483" t="s">
        <v>221</v>
      </c>
      <c r="H4483" t="s">
        <v>16</v>
      </c>
      <c r="I4483" t="s">
        <v>1296</v>
      </c>
      <c r="J4483" t="s">
        <v>1297</v>
      </c>
      <c r="K4483" t="s">
        <v>1809</v>
      </c>
      <c r="L4483" t="str">
        <f>HYPERLINK("https://business-monitor.ch/de/companies/1081693-awesomedia-maerki?utm_source=oberaargau","PROFIL ANSEHEN")</f>
        <v>PROFIL ANSEHEN</v>
      </c>
    </row>
    <row r="4484" spans="1:12" x14ac:dyDescent="0.2">
      <c r="A4484" t="s">
        <v>9476</v>
      </c>
      <c r="B4484" t="s">
        <v>9477</v>
      </c>
      <c r="C4484" t="s">
        <v>13</v>
      </c>
      <c r="D4484" t="s">
        <v>9478</v>
      </c>
      <c r="E4484" t="s">
        <v>1902</v>
      </c>
      <c r="F4484">
        <v>4952</v>
      </c>
      <c r="G4484" t="s">
        <v>474</v>
      </c>
      <c r="H4484" t="s">
        <v>16</v>
      </c>
      <c r="I4484" t="s">
        <v>906</v>
      </c>
      <c r="J4484" t="s">
        <v>907</v>
      </c>
      <c r="K4484" t="s">
        <v>1809</v>
      </c>
      <c r="L4484" t="str">
        <f>HYPERLINK("https://business-monitor.ch/de/companies/473340-gh-leimatt-ag?utm_source=oberaargau","PROFIL ANSEHEN")</f>
        <v>PROFIL ANSEHEN</v>
      </c>
    </row>
    <row r="4485" spans="1:12" x14ac:dyDescent="0.2">
      <c r="A4485" t="s">
        <v>1906</v>
      </c>
      <c r="B4485" t="s">
        <v>1907</v>
      </c>
      <c r="C4485" t="s">
        <v>202</v>
      </c>
      <c r="E4485" t="s">
        <v>1908</v>
      </c>
      <c r="F4485">
        <v>4938</v>
      </c>
      <c r="G4485" t="s">
        <v>1909</v>
      </c>
      <c r="H4485" t="s">
        <v>16</v>
      </c>
      <c r="I4485" t="s">
        <v>917</v>
      </c>
      <c r="J4485" t="s">
        <v>918</v>
      </c>
      <c r="K4485" t="s">
        <v>1809</v>
      </c>
      <c r="L4485" t="str">
        <f>HYPERLINK("https://business-monitor.ch/de/companies/298867-graber-ht-gmbh?utm_source=oberaargau","PROFIL ANSEHEN")</f>
        <v>PROFIL ANSEHEN</v>
      </c>
    </row>
    <row r="4486" spans="1:12" x14ac:dyDescent="0.2">
      <c r="A4486" t="s">
        <v>6286</v>
      </c>
      <c r="B4486" t="s">
        <v>6287</v>
      </c>
      <c r="C4486" t="s">
        <v>202</v>
      </c>
      <c r="E4486" t="s">
        <v>6288</v>
      </c>
      <c r="F4486">
        <v>4950</v>
      </c>
      <c r="G4486" t="s">
        <v>15</v>
      </c>
      <c r="H4486" t="s">
        <v>16</v>
      </c>
      <c r="I4486" t="s">
        <v>260</v>
      </c>
      <c r="J4486" t="s">
        <v>261</v>
      </c>
      <c r="K4486" t="s">
        <v>1809</v>
      </c>
      <c r="L4486" t="str">
        <f>HYPERLINK("https://business-monitor.ch/de/companies/339511-fibagena-gmbh?utm_source=oberaargau","PROFIL ANSEHEN")</f>
        <v>PROFIL ANSEHEN</v>
      </c>
    </row>
    <row r="4487" spans="1:12" x14ac:dyDescent="0.2">
      <c r="A4487" t="s">
        <v>572</v>
      </c>
      <c r="B4487" t="s">
        <v>10484</v>
      </c>
      <c r="C4487" t="s">
        <v>13</v>
      </c>
      <c r="E4487" t="s">
        <v>10485</v>
      </c>
      <c r="F4487">
        <v>3363</v>
      </c>
      <c r="G4487" t="s">
        <v>1367</v>
      </c>
      <c r="H4487" t="s">
        <v>16</v>
      </c>
      <c r="I4487" t="s">
        <v>186</v>
      </c>
      <c r="J4487" t="s">
        <v>187</v>
      </c>
      <c r="K4487" t="s">
        <v>1809</v>
      </c>
      <c r="L4487" t="str">
        <f>HYPERLINK("https://business-monitor.ch/de/companies/24973-fischer-group-holding-ag?utm_source=oberaargau","PROFIL ANSEHEN")</f>
        <v>PROFIL ANSEHEN</v>
      </c>
    </row>
    <row r="4488" spans="1:12" x14ac:dyDescent="0.2">
      <c r="A4488" t="s">
        <v>6383</v>
      </c>
      <c r="B4488" t="s">
        <v>6384</v>
      </c>
      <c r="C4488" t="s">
        <v>13</v>
      </c>
      <c r="E4488" t="s">
        <v>13039</v>
      </c>
      <c r="F4488">
        <v>4900</v>
      </c>
      <c r="G4488" t="s">
        <v>41</v>
      </c>
      <c r="H4488" t="s">
        <v>16</v>
      </c>
      <c r="I4488" t="s">
        <v>298</v>
      </c>
      <c r="J4488" t="s">
        <v>299</v>
      </c>
      <c r="K4488" t="s">
        <v>1809</v>
      </c>
      <c r="L4488" t="str">
        <f>HYPERLINK("https://business-monitor.ch/de/companies/300638-hofmann-servicetechnik-ag?utm_source=oberaargau","PROFIL ANSEHEN")</f>
        <v>PROFIL ANSEHEN</v>
      </c>
    </row>
    <row r="4489" spans="1:12" x14ac:dyDescent="0.2">
      <c r="A4489" t="s">
        <v>7733</v>
      </c>
      <c r="B4489" t="s">
        <v>7734</v>
      </c>
      <c r="C4489" t="s">
        <v>13</v>
      </c>
      <c r="E4489" t="s">
        <v>4195</v>
      </c>
      <c r="F4489">
        <v>4923</v>
      </c>
      <c r="G4489" t="s">
        <v>732</v>
      </c>
      <c r="H4489" t="s">
        <v>16</v>
      </c>
      <c r="I4489" t="s">
        <v>507</v>
      </c>
      <c r="J4489" t="s">
        <v>508</v>
      </c>
      <c r="K4489" t="s">
        <v>1809</v>
      </c>
      <c r="L4489" t="str">
        <f>HYPERLINK("https://business-monitor.ch/de/companies/590032-swisskebab-production-ch-ag?utm_source=oberaargau","PROFIL ANSEHEN")</f>
        <v>PROFIL ANSEHEN</v>
      </c>
    </row>
    <row r="4490" spans="1:12" x14ac:dyDescent="0.2">
      <c r="A4490" t="s">
        <v>9560</v>
      </c>
      <c r="B4490" t="s">
        <v>9561</v>
      </c>
      <c r="C4490" t="s">
        <v>1812</v>
      </c>
      <c r="E4490" t="s">
        <v>7020</v>
      </c>
      <c r="F4490">
        <v>3367</v>
      </c>
      <c r="G4490" t="s">
        <v>455</v>
      </c>
      <c r="H4490" t="s">
        <v>16</v>
      </c>
      <c r="I4490" t="s">
        <v>3864</v>
      </c>
      <c r="J4490" t="s">
        <v>3865</v>
      </c>
      <c r="K4490" t="s">
        <v>1809</v>
      </c>
      <c r="L4490" t="str">
        <f>HYPERLINK("https://business-monitor.ch/de/companies/577384-tier-art-birrer?utm_source=oberaargau","PROFIL ANSEHEN")</f>
        <v>PROFIL ANSEHEN</v>
      </c>
    </row>
    <row r="4491" spans="1:12" x14ac:dyDescent="0.2">
      <c r="A4491" t="s">
        <v>10066</v>
      </c>
      <c r="B4491" t="s">
        <v>10067</v>
      </c>
      <c r="C4491" t="s">
        <v>13</v>
      </c>
      <c r="D4491" t="s">
        <v>3561</v>
      </c>
      <c r="E4491" t="s">
        <v>528</v>
      </c>
      <c r="F4491">
        <v>4912</v>
      </c>
      <c r="G4491" t="s">
        <v>64</v>
      </c>
      <c r="H4491" t="s">
        <v>16</v>
      </c>
      <c r="I4491" t="s">
        <v>182</v>
      </c>
      <c r="J4491" t="s">
        <v>183</v>
      </c>
      <c r="K4491" t="s">
        <v>1809</v>
      </c>
      <c r="L4491" t="str">
        <f>HYPERLINK("https://business-monitor.ch/de/companies/693466-w-maurer-beteiligungs-ag?utm_source=oberaargau","PROFIL ANSEHEN")</f>
        <v>PROFIL ANSEHEN</v>
      </c>
    </row>
    <row r="4492" spans="1:12" x14ac:dyDescent="0.2">
      <c r="A4492" t="s">
        <v>3964</v>
      </c>
      <c r="B4492" t="s">
        <v>3965</v>
      </c>
      <c r="C4492" t="s">
        <v>202</v>
      </c>
      <c r="E4492" t="s">
        <v>3966</v>
      </c>
      <c r="F4492">
        <v>3360</v>
      </c>
      <c r="G4492" t="s">
        <v>35</v>
      </c>
      <c r="H4492" t="s">
        <v>16</v>
      </c>
      <c r="I4492" t="s">
        <v>182</v>
      </c>
      <c r="J4492" t="s">
        <v>183</v>
      </c>
      <c r="K4492" t="s">
        <v>1809</v>
      </c>
      <c r="L4492" t="str">
        <f>HYPERLINK("https://business-monitor.ch/de/companies/1032410-elmaneea-holding-gmbh?utm_source=oberaargau","PROFIL ANSEHEN")</f>
        <v>PROFIL ANSEHEN</v>
      </c>
    </row>
    <row r="4493" spans="1:12" x14ac:dyDescent="0.2">
      <c r="A4493" t="s">
        <v>5979</v>
      </c>
      <c r="B4493" t="s">
        <v>5980</v>
      </c>
      <c r="C4493" t="s">
        <v>202</v>
      </c>
      <c r="E4493" t="s">
        <v>5981</v>
      </c>
      <c r="F4493">
        <v>4911</v>
      </c>
      <c r="G4493" t="s">
        <v>1005</v>
      </c>
      <c r="H4493" t="s">
        <v>16</v>
      </c>
      <c r="I4493" t="s">
        <v>464</v>
      </c>
      <c r="J4493" t="s">
        <v>465</v>
      </c>
      <c r="K4493" t="s">
        <v>1809</v>
      </c>
      <c r="L4493" t="str">
        <f>HYPERLINK("https://business-monitor.ch/de/companies/458780-albert-gerber-transporte-gmbh?utm_source=oberaargau","PROFIL ANSEHEN")</f>
        <v>PROFIL ANSEHEN</v>
      </c>
    </row>
    <row r="4494" spans="1:12" x14ac:dyDescent="0.2">
      <c r="A4494" t="s">
        <v>7556</v>
      </c>
      <c r="B4494" t="s">
        <v>7557</v>
      </c>
      <c r="C4494" t="s">
        <v>1812</v>
      </c>
      <c r="E4494" t="s">
        <v>6481</v>
      </c>
      <c r="F4494">
        <v>3365</v>
      </c>
      <c r="G4494" t="s">
        <v>2390</v>
      </c>
      <c r="H4494" t="s">
        <v>16</v>
      </c>
      <c r="I4494" t="s">
        <v>260</v>
      </c>
      <c r="J4494" t="s">
        <v>261</v>
      </c>
      <c r="K4494" t="s">
        <v>1809</v>
      </c>
      <c r="L4494" t="str">
        <f>HYPERLINK("https://business-monitor.ch/de/companies/693160-histronomie-ch-gruetter?utm_source=oberaargau","PROFIL ANSEHEN")</f>
        <v>PROFIL ANSEHEN</v>
      </c>
    </row>
    <row r="4495" spans="1:12" x14ac:dyDescent="0.2">
      <c r="A4495" t="s">
        <v>8479</v>
      </c>
      <c r="B4495" t="s">
        <v>8480</v>
      </c>
      <c r="C4495" t="s">
        <v>13</v>
      </c>
      <c r="E4495" t="s">
        <v>6023</v>
      </c>
      <c r="F4495">
        <v>3376</v>
      </c>
      <c r="G4495" t="s">
        <v>2012</v>
      </c>
      <c r="H4495" t="s">
        <v>16</v>
      </c>
      <c r="I4495" t="s">
        <v>260</v>
      </c>
      <c r="J4495" t="s">
        <v>261</v>
      </c>
      <c r="K4495" t="s">
        <v>1809</v>
      </c>
      <c r="L4495" t="str">
        <f>HYPERLINK("https://business-monitor.ch/de/companies/1077450-invest21-ag?utm_source=oberaargau","PROFIL ANSEHEN")</f>
        <v>PROFIL ANSEHEN</v>
      </c>
    </row>
    <row r="4496" spans="1:12" x14ac:dyDescent="0.2">
      <c r="A4496" t="s">
        <v>3233</v>
      </c>
      <c r="B4496" t="s">
        <v>3234</v>
      </c>
      <c r="C4496" t="s">
        <v>13</v>
      </c>
      <c r="E4496" t="s">
        <v>3235</v>
      </c>
      <c r="F4496">
        <v>4912</v>
      </c>
      <c r="G4496" t="s">
        <v>64</v>
      </c>
      <c r="H4496" t="s">
        <v>16</v>
      </c>
      <c r="I4496" t="s">
        <v>1607</v>
      </c>
      <c r="J4496" t="s">
        <v>1608</v>
      </c>
      <c r="K4496" t="s">
        <v>1809</v>
      </c>
      <c r="L4496" t="str">
        <f>HYPERLINK("https://business-monitor.ch/de/companies/268485-h-u-ingold-forstbaumschulen-ag?utm_source=oberaargau","PROFIL ANSEHEN")</f>
        <v>PROFIL ANSEHEN</v>
      </c>
    </row>
    <row r="4497" spans="1:12" x14ac:dyDescent="0.2">
      <c r="A4497" t="s">
        <v>8435</v>
      </c>
      <c r="B4497" t="s">
        <v>8436</v>
      </c>
      <c r="C4497" t="s">
        <v>202</v>
      </c>
      <c r="E4497" t="s">
        <v>6223</v>
      </c>
      <c r="F4497">
        <v>4950</v>
      </c>
      <c r="G4497" t="s">
        <v>15</v>
      </c>
      <c r="H4497" t="s">
        <v>16</v>
      </c>
      <c r="I4497" t="s">
        <v>1278</v>
      </c>
      <c r="J4497" t="s">
        <v>1279</v>
      </c>
      <c r="K4497" t="s">
        <v>1809</v>
      </c>
      <c r="L4497" t="str">
        <f>HYPERLINK("https://business-monitor.ch/de/companies/320987-th-metall-gmbh?utm_source=oberaargau","PROFIL ANSEHEN")</f>
        <v>PROFIL ANSEHEN</v>
      </c>
    </row>
    <row r="4498" spans="1:12" x14ac:dyDescent="0.2">
      <c r="A4498" t="s">
        <v>8348</v>
      </c>
      <c r="B4498" t="s">
        <v>8349</v>
      </c>
      <c r="C4498" t="s">
        <v>1812</v>
      </c>
      <c r="D4498" t="s">
        <v>8350</v>
      </c>
      <c r="E4498" t="s">
        <v>8351</v>
      </c>
      <c r="F4498">
        <v>4911</v>
      </c>
      <c r="G4498" t="s">
        <v>1005</v>
      </c>
      <c r="H4498" t="s">
        <v>16</v>
      </c>
      <c r="I4498" t="s">
        <v>475</v>
      </c>
      <c r="J4498" t="s">
        <v>476</v>
      </c>
      <c r="K4498" t="s">
        <v>1809</v>
      </c>
      <c r="L4498" t="str">
        <f>HYPERLINK("https://business-monitor.ch/de/companies/218084-bct-burkhard?utm_source=oberaargau","PROFIL ANSEHEN")</f>
        <v>PROFIL ANSEHEN</v>
      </c>
    </row>
    <row r="4499" spans="1:12" x14ac:dyDescent="0.2">
      <c r="A4499" t="s">
        <v>4505</v>
      </c>
      <c r="B4499" t="s">
        <v>4506</v>
      </c>
      <c r="C4499" t="s">
        <v>202</v>
      </c>
      <c r="E4499" t="s">
        <v>446</v>
      </c>
      <c r="F4499">
        <v>4900</v>
      </c>
      <c r="G4499" t="s">
        <v>41</v>
      </c>
      <c r="H4499" t="s">
        <v>16</v>
      </c>
      <c r="I4499" t="s">
        <v>433</v>
      </c>
      <c r="J4499" t="s">
        <v>434</v>
      </c>
      <c r="K4499" t="s">
        <v>1809</v>
      </c>
      <c r="L4499" t="str">
        <f>HYPERLINK("https://business-monitor.ch/de/companies/695028-die-vierte-wand-gmbh?utm_source=oberaargau","PROFIL ANSEHEN")</f>
        <v>PROFIL ANSEHEN</v>
      </c>
    </row>
    <row r="4500" spans="1:12" x14ac:dyDescent="0.2">
      <c r="A4500" t="s">
        <v>3146</v>
      </c>
      <c r="B4500" t="s">
        <v>8887</v>
      </c>
      <c r="C4500" t="s">
        <v>202</v>
      </c>
      <c r="E4500" t="s">
        <v>8888</v>
      </c>
      <c r="F4500">
        <v>4536</v>
      </c>
      <c r="G4500" t="s">
        <v>1395</v>
      </c>
      <c r="H4500" t="s">
        <v>16</v>
      </c>
      <c r="I4500" t="s">
        <v>4641</v>
      </c>
      <c r="J4500" t="s">
        <v>4642</v>
      </c>
      <c r="K4500" t="s">
        <v>1809</v>
      </c>
      <c r="L4500" t="str">
        <f>HYPERLINK("https://business-monitor.ch/de/companies/307652-traktiv-gmbh?utm_source=oberaargau","PROFIL ANSEHEN")</f>
        <v>PROFIL ANSEHEN</v>
      </c>
    </row>
    <row r="4501" spans="1:12" x14ac:dyDescent="0.2">
      <c r="A4501" t="s">
        <v>5096</v>
      </c>
      <c r="B4501" t="s">
        <v>5097</v>
      </c>
      <c r="C4501" t="s">
        <v>13</v>
      </c>
      <c r="D4501" t="s">
        <v>5098</v>
      </c>
      <c r="E4501" t="s">
        <v>5099</v>
      </c>
      <c r="F4501">
        <v>4704</v>
      </c>
      <c r="G4501" t="s">
        <v>221</v>
      </c>
      <c r="H4501" t="s">
        <v>16</v>
      </c>
      <c r="I4501" t="s">
        <v>157</v>
      </c>
      <c r="J4501" t="s">
        <v>158</v>
      </c>
      <c r="K4501" t="s">
        <v>1809</v>
      </c>
      <c r="L4501" t="str">
        <f>HYPERLINK("https://business-monitor.ch/de/companies/485637-huber-immobilien-ag?utm_source=oberaargau","PROFIL ANSEHEN")</f>
        <v>PROFIL ANSEHEN</v>
      </c>
    </row>
    <row r="4502" spans="1:12" x14ac:dyDescent="0.2">
      <c r="A4502" t="s">
        <v>13298</v>
      </c>
      <c r="B4502" t="s">
        <v>13299</v>
      </c>
      <c r="C4502" t="s">
        <v>202</v>
      </c>
      <c r="E4502" t="s">
        <v>13300</v>
      </c>
      <c r="F4502">
        <v>4900</v>
      </c>
      <c r="G4502" t="s">
        <v>41</v>
      </c>
      <c r="H4502" t="s">
        <v>16</v>
      </c>
      <c r="I4502" t="s">
        <v>679</v>
      </c>
      <c r="J4502" t="s">
        <v>680</v>
      </c>
      <c r="K4502" t="s">
        <v>1809</v>
      </c>
      <c r="L4502" t="str">
        <f>HYPERLINK("https://business-monitor.ch/de/companies/1200747-holzgestalter-gmbh?utm_source=oberaargau","PROFIL ANSEHEN")</f>
        <v>PROFIL ANSEHEN</v>
      </c>
    </row>
    <row r="4503" spans="1:12" x14ac:dyDescent="0.2">
      <c r="A4503" t="s">
        <v>3123</v>
      </c>
      <c r="B4503" t="s">
        <v>3124</v>
      </c>
      <c r="C4503" t="s">
        <v>202</v>
      </c>
      <c r="E4503" t="s">
        <v>3125</v>
      </c>
      <c r="F4503">
        <v>4900</v>
      </c>
      <c r="G4503" t="s">
        <v>41</v>
      </c>
      <c r="H4503" t="s">
        <v>16</v>
      </c>
      <c r="I4503" t="s">
        <v>2825</v>
      </c>
      <c r="J4503" t="s">
        <v>2826</v>
      </c>
      <c r="K4503" t="s">
        <v>1809</v>
      </c>
      <c r="L4503" t="str">
        <f>HYPERLINK("https://business-monitor.ch/de/companies/317105-design-alexa-blum-gmbh?utm_source=oberaargau","PROFIL ANSEHEN")</f>
        <v>PROFIL ANSEHEN</v>
      </c>
    </row>
    <row r="4504" spans="1:12" x14ac:dyDescent="0.2">
      <c r="A4504" t="s">
        <v>12575</v>
      </c>
      <c r="B4504" t="s">
        <v>12576</v>
      </c>
      <c r="C4504" t="s">
        <v>202</v>
      </c>
      <c r="D4504" t="s">
        <v>11648</v>
      </c>
      <c r="E4504" t="s">
        <v>9493</v>
      </c>
      <c r="F4504">
        <v>4912</v>
      </c>
      <c r="G4504" t="s">
        <v>64</v>
      </c>
      <c r="H4504" t="s">
        <v>16</v>
      </c>
      <c r="I4504" t="s">
        <v>134</v>
      </c>
      <c r="J4504" t="s">
        <v>135</v>
      </c>
      <c r="K4504" t="s">
        <v>1809</v>
      </c>
      <c r="L4504" t="str">
        <f>HYPERLINK("https://business-monitor.ch/de/companies/1212894-ost-team-gmbh?utm_source=oberaargau","PROFIL ANSEHEN")</f>
        <v>PROFIL ANSEHEN</v>
      </c>
    </row>
    <row r="4505" spans="1:12" x14ac:dyDescent="0.2">
      <c r="A4505" t="s">
        <v>10219</v>
      </c>
      <c r="B4505" t="s">
        <v>10220</v>
      </c>
      <c r="C4505" t="s">
        <v>202</v>
      </c>
      <c r="E4505" t="s">
        <v>5751</v>
      </c>
      <c r="F4505">
        <v>4900</v>
      </c>
      <c r="G4505" t="s">
        <v>41</v>
      </c>
      <c r="H4505" t="s">
        <v>16</v>
      </c>
      <c r="I4505" t="s">
        <v>1841</v>
      </c>
      <c r="J4505" t="s">
        <v>1842</v>
      </c>
      <c r="K4505" t="s">
        <v>1809</v>
      </c>
      <c r="L4505" t="str">
        <f>HYPERLINK("https://business-monitor.ch/de/companies/611059-klaey-consulting-gmbh?utm_source=oberaargau","PROFIL ANSEHEN")</f>
        <v>PROFIL ANSEHEN</v>
      </c>
    </row>
    <row r="4506" spans="1:12" x14ac:dyDescent="0.2">
      <c r="A4506" t="s">
        <v>1837</v>
      </c>
      <c r="B4506" t="s">
        <v>1838</v>
      </c>
      <c r="C4506" t="s">
        <v>1812</v>
      </c>
      <c r="E4506" t="s">
        <v>1839</v>
      </c>
      <c r="F4506">
        <v>4914</v>
      </c>
      <c r="G4506" t="s">
        <v>105</v>
      </c>
      <c r="H4506" t="s">
        <v>16</v>
      </c>
      <c r="I4506" t="s">
        <v>642</v>
      </c>
      <c r="J4506" t="s">
        <v>643</v>
      </c>
      <c r="K4506" t="s">
        <v>1809</v>
      </c>
      <c r="L4506" t="str">
        <f>HYPERLINK("https://business-monitor.ch/de/companies/1078031-getriebe-doc-nistor?utm_source=oberaargau","PROFIL ANSEHEN")</f>
        <v>PROFIL ANSEHEN</v>
      </c>
    </row>
    <row r="4507" spans="1:12" x14ac:dyDescent="0.2">
      <c r="A4507" t="s">
        <v>3992</v>
      </c>
      <c r="B4507" t="s">
        <v>3993</v>
      </c>
      <c r="C4507" t="s">
        <v>1812</v>
      </c>
      <c r="E4507" t="s">
        <v>3994</v>
      </c>
      <c r="F4507">
        <v>3380</v>
      </c>
      <c r="G4507" t="s">
        <v>3483</v>
      </c>
      <c r="H4507" t="s">
        <v>16</v>
      </c>
      <c r="I4507" t="s">
        <v>3201</v>
      </c>
      <c r="J4507" t="s">
        <v>3202</v>
      </c>
      <c r="K4507" t="s">
        <v>1809</v>
      </c>
      <c r="L4507" t="str">
        <f>HYPERLINK("https://business-monitor.ch/de/companies/694236-puzzle-paradies-ch-guenther?utm_source=oberaargau","PROFIL ANSEHEN")</f>
        <v>PROFIL ANSEHEN</v>
      </c>
    </row>
    <row r="4508" spans="1:12" x14ac:dyDescent="0.2">
      <c r="A4508" t="s">
        <v>2165</v>
      </c>
      <c r="B4508" t="s">
        <v>2166</v>
      </c>
      <c r="C4508" t="s">
        <v>1812</v>
      </c>
      <c r="E4508" t="s">
        <v>1725</v>
      </c>
      <c r="F4508">
        <v>3360</v>
      </c>
      <c r="G4508" t="s">
        <v>35</v>
      </c>
      <c r="H4508" t="s">
        <v>16</v>
      </c>
      <c r="I4508" t="s">
        <v>642</v>
      </c>
      <c r="J4508" t="s">
        <v>643</v>
      </c>
      <c r="K4508" t="s">
        <v>1809</v>
      </c>
      <c r="L4508" t="str">
        <f>HYPERLINK("https://business-monitor.ch/de/companies/158386-garage-pneuhaus-bruno-langenegger?utm_source=oberaargau","PROFIL ANSEHEN")</f>
        <v>PROFIL ANSEHEN</v>
      </c>
    </row>
    <row r="4509" spans="1:12" x14ac:dyDescent="0.2">
      <c r="A4509" t="s">
        <v>11555</v>
      </c>
      <c r="B4509" t="s">
        <v>11556</v>
      </c>
      <c r="C4509" t="s">
        <v>1812</v>
      </c>
      <c r="E4509" t="s">
        <v>11557</v>
      </c>
      <c r="F4509">
        <v>3360</v>
      </c>
      <c r="G4509" t="s">
        <v>35</v>
      </c>
      <c r="H4509" t="s">
        <v>16</v>
      </c>
      <c r="I4509" t="s">
        <v>824</v>
      </c>
      <c r="J4509" t="s">
        <v>825</v>
      </c>
      <c r="K4509" t="s">
        <v>1809</v>
      </c>
      <c r="L4509" t="str">
        <f>HYPERLINK("https://business-monitor.ch/de/companies/959721-baba-pizza-kebab-kurier-catak?utm_source=oberaargau","PROFIL ANSEHEN")</f>
        <v>PROFIL ANSEHEN</v>
      </c>
    </row>
    <row r="4510" spans="1:12" x14ac:dyDescent="0.2">
      <c r="A4510" t="s">
        <v>8307</v>
      </c>
      <c r="B4510" t="s">
        <v>8308</v>
      </c>
      <c r="C4510" t="s">
        <v>202</v>
      </c>
      <c r="D4510" t="s">
        <v>8309</v>
      </c>
      <c r="E4510" t="s">
        <v>8310</v>
      </c>
      <c r="F4510">
        <v>4942</v>
      </c>
      <c r="G4510" t="s">
        <v>1287</v>
      </c>
      <c r="H4510" t="s">
        <v>16</v>
      </c>
      <c r="I4510" t="s">
        <v>464</v>
      </c>
      <c r="J4510" t="s">
        <v>465</v>
      </c>
      <c r="K4510" t="s">
        <v>1809</v>
      </c>
      <c r="L4510" t="str">
        <f>HYPERLINK("https://business-monitor.ch/de/companies/440048-salzmann-heiniger-gmbh?utm_source=oberaargau","PROFIL ANSEHEN")</f>
        <v>PROFIL ANSEHEN</v>
      </c>
    </row>
    <row r="4511" spans="1:12" x14ac:dyDescent="0.2">
      <c r="A4511" t="s">
        <v>11558</v>
      </c>
      <c r="B4511" t="s">
        <v>11559</v>
      </c>
      <c r="C4511" t="s">
        <v>202</v>
      </c>
      <c r="E4511" t="s">
        <v>11560</v>
      </c>
      <c r="F4511">
        <v>3376</v>
      </c>
      <c r="G4511" t="s">
        <v>2012</v>
      </c>
      <c r="H4511" t="s">
        <v>16</v>
      </c>
      <c r="I4511" t="s">
        <v>72</v>
      </c>
      <c r="J4511" t="s">
        <v>73</v>
      </c>
      <c r="K4511" t="s">
        <v>1809</v>
      </c>
      <c r="L4511" t="str">
        <f>HYPERLINK("https://business-monitor.ch/de/companies/1139214-ellu-gmbh?utm_source=oberaargau","PROFIL ANSEHEN")</f>
        <v>PROFIL ANSEHEN</v>
      </c>
    </row>
    <row r="4512" spans="1:12" x14ac:dyDescent="0.2">
      <c r="A4512" t="s">
        <v>1830</v>
      </c>
      <c r="B4512" t="s">
        <v>1831</v>
      </c>
      <c r="C4512" t="s">
        <v>202</v>
      </c>
      <c r="D4512" t="s">
        <v>1832</v>
      </c>
      <c r="E4512" t="s">
        <v>1833</v>
      </c>
      <c r="F4512">
        <v>4912</v>
      </c>
      <c r="G4512" t="s">
        <v>64</v>
      </c>
      <c r="H4512" t="s">
        <v>16</v>
      </c>
      <c r="I4512" t="s">
        <v>906</v>
      </c>
      <c r="J4512" t="s">
        <v>907</v>
      </c>
      <c r="K4512" t="s">
        <v>1809</v>
      </c>
      <c r="L4512" t="str">
        <f>HYPERLINK("https://business-monitor.ch/de/companies/1078283-bieler-holding-gmbh?utm_source=oberaargau","PROFIL ANSEHEN")</f>
        <v>PROFIL ANSEHEN</v>
      </c>
    </row>
    <row r="4513" spans="1:12" x14ac:dyDescent="0.2">
      <c r="A4513" t="s">
        <v>9206</v>
      </c>
      <c r="B4513" t="s">
        <v>9207</v>
      </c>
      <c r="C4513" t="s">
        <v>13</v>
      </c>
      <c r="E4513" t="s">
        <v>9208</v>
      </c>
      <c r="F4513">
        <v>3360</v>
      </c>
      <c r="G4513" t="s">
        <v>35</v>
      </c>
      <c r="H4513" t="s">
        <v>16</v>
      </c>
      <c r="I4513" t="s">
        <v>906</v>
      </c>
      <c r="J4513" t="s">
        <v>907</v>
      </c>
      <c r="K4513" t="s">
        <v>1809</v>
      </c>
      <c r="L4513" t="str">
        <f>HYPERLINK("https://business-monitor.ch/de/companies/142081-grogg-ag-herzogenbuchsee?utm_source=oberaargau","PROFIL ANSEHEN")</f>
        <v>PROFIL ANSEHEN</v>
      </c>
    </row>
    <row r="4514" spans="1:12" x14ac:dyDescent="0.2">
      <c r="A4514" t="s">
        <v>7111</v>
      </c>
      <c r="B4514" t="s">
        <v>7112</v>
      </c>
      <c r="C4514" t="s">
        <v>1812</v>
      </c>
      <c r="E4514" t="s">
        <v>3298</v>
      </c>
      <c r="F4514">
        <v>4914</v>
      </c>
      <c r="G4514" t="s">
        <v>105</v>
      </c>
      <c r="H4514" t="s">
        <v>16</v>
      </c>
      <c r="I4514" t="s">
        <v>642</v>
      </c>
      <c r="J4514" t="s">
        <v>643</v>
      </c>
      <c r="K4514" t="s">
        <v>1809</v>
      </c>
      <c r="L4514" t="str">
        <f>HYPERLINK("https://business-monitor.ch/de/companies/1031294-garage-urs-marending?utm_source=oberaargau","PROFIL ANSEHEN")</f>
        <v>PROFIL ANSEHEN</v>
      </c>
    </row>
    <row r="4515" spans="1:12" x14ac:dyDescent="0.2">
      <c r="A4515" t="s">
        <v>5380</v>
      </c>
      <c r="B4515" t="s">
        <v>5381</v>
      </c>
      <c r="C4515" t="s">
        <v>202</v>
      </c>
      <c r="E4515" t="s">
        <v>1509</v>
      </c>
      <c r="F4515">
        <v>4900</v>
      </c>
      <c r="G4515" t="s">
        <v>41</v>
      </c>
      <c r="H4515" t="s">
        <v>16</v>
      </c>
      <c r="I4515" t="s">
        <v>679</v>
      </c>
      <c r="J4515" t="s">
        <v>680</v>
      </c>
      <c r="K4515" t="s">
        <v>1809</v>
      </c>
      <c r="L4515" t="str">
        <f>HYPERLINK("https://business-monitor.ch/de/companies/356107-spotti-interieur-naturel-gmbh?utm_source=oberaargau","PROFIL ANSEHEN")</f>
        <v>PROFIL ANSEHEN</v>
      </c>
    </row>
    <row r="4516" spans="1:12" x14ac:dyDescent="0.2">
      <c r="A4516" t="s">
        <v>10155</v>
      </c>
      <c r="B4516" t="s">
        <v>10156</v>
      </c>
      <c r="C4516" t="s">
        <v>202</v>
      </c>
      <c r="D4516" t="s">
        <v>10157</v>
      </c>
      <c r="E4516" t="s">
        <v>10158</v>
      </c>
      <c r="F4516">
        <v>4900</v>
      </c>
      <c r="G4516" t="s">
        <v>41</v>
      </c>
      <c r="H4516" t="s">
        <v>16</v>
      </c>
      <c r="I4516" t="s">
        <v>3864</v>
      </c>
      <c r="J4516" t="s">
        <v>3865</v>
      </c>
      <c r="K4516" t="s">
        <v>1809</v>
      </c>
      <c r="L4516" t="str">
        <f>HYPERLINK("https://business-monitor.ch/de/companies/651004-fotojeger-gmbh?utm_source=oberaargau","PROFIL ANSEHEN")</f>
        <v>PROFIL ANSEHEN</v>
      </c>
    </row>
    <row r="4517" spans="1:12" x14ac:dyDescent="0.2">
      <c r="A4517" t="s">
        <v>2652</v>
      </c>
      <c r="B4517" t="s">
        <v>2653</v>
      </c>
      <c r="C4517" t="s">
        <v>202</v>
      </c>
      <c r="E4517" t="s">
        <v>2654</v>
      </c>
      <c r="F4517">
        <v>3363</v>
      </c>
      <c r="G4517" t="s">
        <v>1367</v>
      </c>
      <c r="H4517" t="s">
        <v>16</v>
      </c>
      <c r="I4517" t="s">
        <v>2655</v>
      </c>
      <c r="J4517" t="s">
        <v>2656</v>
      </c>
      <c r="K4517" t="s">
        <v>1809</v>
      </c>
      <c r="L4517" t="str">
        <f>HYPERLINK("https://business-monitor.ch/de/companies/488205-schuhagentur-flueckiger-gmbh?utm_source=oberaargau","PROFIL ANSEHEN")</f>
        <v>PROFIL ANSEHEN</v>
      </c>
    </row>
    <row r="4518" spans="1:12" x14ac:dyDescent="0.2">
      <c r="A4518" t="s">
        <v>1910</v>
      </c>
      <c r="B4518" t="s">
        <v>3189</v>
      </c>
      <c r="C4518" t="s">
        <v>13</v>
      </c>
      <c r="E4518" t="s">
        <v>3190</v>
      </c>
      <c r="F4518">
        <v>4900</v>
      </c>
      <c r="G4518" t="s">
        <v>41</v>
      </c>
      <c r="H4518" t="s">
        <v>16</v>
      </c>
      <c r="I4518" t="s">
        <v>1528</v>
      </c>
      <c r="J4518" t="s">
        <v>1529</v>
      </c>
      <c r="K4518" t="s">
        <v>1809</v>
      </c>
      <c r="L4518" t="str">
        <f>HYPERLINK("https://business-monitor.ch/de/companies/291600-clavatax-steuer-advokatur-ag?utm_source=oberaargau","PROFIL ANSEHEN")</f>
        <v>PROFIL ANSEHEN</v>
      </c>
    </row>
    <row r="4519" spans="1:12" x14ac:dyDescent="0.2">
      <c r="A4519" t="s">
        <v>13246</v>
      </c>
      <c r="B4519" t="s">
        <v>13247</v>
      </c>
      <c r="C4519" t="s">
        <v>2258</v>
      </c>
      <c r="D4519" t="s">
        <v>13248</v>
      </c>
      <c r="E4519" t="s">
        <v>13249</v>
      </c>
      <c r="F4519">
        <v>3363</v>
      </c>
      <c r="G4519" t="s">
        <v>1367</v>
      </c>
      <c r="H4519" t="s">
        <v>16</v>
      </c>
      <c r="I4519" t="s">
        <v>640</v>
      </c>
      <c r="J4519" t="s">
        <v>641</v>
      </c>
      <c r="K4519" t="s">
        <v>1809</v>
      </c>
      <c r="L4519" t="str">
        <f>HYPERLINK("https://business-monitor.ch/de/companies/1079097-vdb-security?utm_source=oberaargau","PROFIL ANSEHEN")</f>
        <v>PROFIL ANSEHEN</v>
      </c>
    </row>
    <row r="4520" spans="1:12" x14ac:dyDescent="0.2">
      <c r="A4520" t="s">
        <v>8298</v>
      </c>
      <c r="B4520" t="s">
        <v>8299</v>
      </c>
      <c r="C4520" t="s">
        <v>1812</v>
      </c>
      <c r="E4520" t="s">
        <v>8300</v>
      </c>
      <c r="F4520">
        <v>4538</v>
      </c>
      <c r="G4520" t="s">
        <v>71</v>
      </c>
      <c r="H4520" t="s">
        <v>16</v>
      </c>
      <c r="I4520" t="s">
        <v>629</v>
      </c>
      <c r="J4520" t="s">
        <v>630</v>
      </c>
      <c r="K4520" t="s">
        <v>1809</v>
      </c>
      <c r="L4520" t="str">
        <f>HYPERLINK("https://business-monitor.ch/de/companies/506114-soundspace-stanley-schwab?utm_source=oberaargau","PROFIL ANSEHEN")</f>
        <v>PROFIL ANSEHEN</v>
      </c>
    </row>
    <row r="4521" spans="1:12" x14ac:dyDescent="0.2">
      <c r="A4521" t="s">
        <v>8460</v>
      </c>
      <c r="B4521" t="s">
        <v>8461</v>
      </c>
      <c r="C4521" t="s">
        <v>13</v>
      </c>
      <c r="E4521" t="s">
        <v>6328</v>
      </c>
      <c r="F4521">
        <v>4704</v>
      </c>
      <c r="G4521" t="s">
        <v>221</v>
      </c>
      <c r="H4521" t="s">
        <v>16</v>
      </c>
      <c r="I4521" t="s">
        <v>182</v>
      </c>
      <c r="J4521" t="s">
        <v>183</v>
      </c>
      <c r="K4521" t="s">
        <v>1809</v>
      </c>
      <c r="L4521" t="str">
        <f>HYPERLINK("https://business-monitor.ch/de/companies/378727-treufina-holding-ag?utm_source=oberaargau","PROFIL ANSEHEN")</f>
        <v>PROFIL ANSEHEN</v>
      </c>
    </row>
    <row r="4522" spans="1:12" x14ac:dyDescent="0.2">
      <c r="A4522" t="s">
        <v>4249</v>
      </c>
      <c r="B4522" t="s">
        <v>4250</v>
      </c>
      <c r="C4522" t="s">
        <v>1812</v>
      </c>
      <c r="E4522" t="s">
        <v>2184</v>
      </c>
      <c r="F4522">
        <v>4538</v>
      </c>
      <c r="G4522" t="s">
        <v>71</v>
      </c>
      <c r="H4522" t="s">
        <v>16</v>
      </c>
      <c r="I4522" t="s">
        <v>335</v>
      </c>
      <c r="J4522" t="s">
        <v>336</v>
      </c>
      <c r="K4522" t="s">
        <v>1809</v>
      </c>
      <c r="L4522" t="str">
        <f>HYPERLINK("https://business-monitor.ch/de/companies/988404-kuehlanhaengervermietung-fabian-misteli?utm_source=oberaargau","PROFIL ANSEHEN")</f>
        <v>PROFIL ANSEHEN</v>
      </c>
    </row>
    <row r="4523" spans="1:12" x14ac:dyDescent="0.2">
      <c r="A4523" t="s">
        <v>5598</v>
      </c>
      <c r="B4523" t="s">
        <v>5599</v>
      </c>
      <c r="C4523" t="s">
        <v>202</v>
      </c>
      <c r="E4523" t="s">
        <v>6036</v>
      </c>
      <c r="F4523">
        <v>4900</v>
      </c>
      <c r="G4523" t="s">
        <v>41</v>
      </c>
      <c r="H4523" t="s">
        <v>16</v>
      </c>
      <c r="I4523" t="s">
        <v>1841</v>
      </c>
      <c r="J4523" t="s">
        <v>1842</v>
      </c>
      <c r="K4523" t="s">
        <v>1809</v>
      </c>
      <c r="L4523" t="str">
        <f>HYPERLINK("https://business-monitor.ch/de/companies/1055051-aves-praxis-fuer-ergotherapie-und-coaching-gmbh?utm_source=oberaargau","PROFIL ANSEHEN")</f>
        <v>PROFIL ANSEHEN</v>
      </c>
    </row>
    <row r="4524" spans="1:12" x14ac:dyDescent="0.2">
      <c r="A4524" t="s">
        <v>13430</v>
      </c>
      <c r="B4524" t="s">
        <v>13431</v>
      </c>
      <c r="C4524" t="s">
        <v>1812</v>
      </c>
      <c r="E4524" t="s">
        <v>13432</v>
      </c>
      <c r="F4524">
        <v>4923</v>
      </c>
      <c r="G4524" t="s">
        <v>732</v>
      </c>
      <c r="H4524" t="s">
        <v>16</v>
      </c>
      <c r="I4524" t="s">
        <v>5468</v>
      </c>
      <c r="J4524" t="s">
        <v>5469</v>
      </c>
      <c r="K4524" t="s">
        <v>1809</v>
      </c>
      <c r="L4524" t="str">
        <f>HYPERLINK("https://business-monitor.ch/de/companies/1250508-christian-guttenberger?utm_source=oberaargau","PROFIL ANSEHEN")</f>
        <v>PROFIL ANSEHEN</v>
      </c>
    </row>
    <row r="4525" spans="1:12" x14ac:dyDescent="0.2">
      <c r="A4525" t="s">
        <v>3245</v>
      </c>
      <c r="B4525" t="s">
        <v>3246</v>
      </c>
      <c r="C4525" t="s">
        <v>202</v>
      </c>
      <c r="E4525" t="s">
        <v>3247</v>
      </c>
      <c r="F4525">
        <v>4536</v>
      </c>
      <c r="G4525" t="s">
        <v>1395</v>
      </c>
      <c r="H4525" t="s">
        <v>16</v>
      </c>
      <c r="I4525" t="s">
        <v>260</v>
      </c>
      <c r="J4525" t="s">
        <v>261</v>
      </c>
      <c r="K4525" t="s">
        <v>1809</v>
      </c>
      <c r="L4525" t="str">
        <f>HYPERLINK("https://business-monitor.ch/de/companies/265234-frei-architektur-und-baumanagement-gmbh?utm_source=oberaargau","PROFIL ANSEHEN")</f>
        <v>PROFIL ANSEHEN</v>
      </c>
    </row>
    <row r="4526" spans="1:12" x14ac:dyDescent="0.2">
      <c r="A4526" t="s">
        <v>10052</v>
      </c>
      <c r="B4526" t="s">
        <v>10053</v>
      </c>
      <c r="C4526" t="s">
        <v>13</v>
      </c>
      <c r="E4526" t="s">
        <v>11607</v>
      </c>
      <c r="F4526">
        <v>3360</v>
      </c>
      <c r="G4526" t="s">
        <v>35</v>
      </c>
      <c r="H4526" t="s">
        <v>16</v>
      </c>
      <c r="I4526" t="s">
        <v>10054</v>
      </c>
      <c r="J4526" t="s">
        <v>10055</v>
      </c>
      <c r="K4526" t="s">
        <v>1809</v>
      </c>
      <c r="L4526" t="str">
        <f>HYPERLINK("https://business-monitor.ch/de/companies/697106-braun-betonfertigteile-ag?utm_source=oberaargau","PROFIL ANSEHEN")</f>
        <v>PROFIL ANSEHEN</v>
      </c>
    </row>
    <row r="4527" spans="1:12" x14ac:dyDescent="0.2">
      <c r="A4527" t="s">
        <v>6522</v>
      </c>
      <c r="B4527" t="s">
        <v>6523</v>
      </c>
      <c r="C4527" t="s">
        <v>202</v>
      </c>
      <c r="E4527" t="s">
        <v>2159</v>
      </c>
      <c r="F4527">
        <v>3380</v>
      </c>
      <c r="G4527" t="s">
        <v>29</v>
      </c>
      <c r="H4527" t="s">
        <v>16</v>
      </c>
      <c r="I4527" t="s">
        <v>4641</v>
      </c>
      <c r="J4527" t="s">
        <v>4642</v>
      </c>
      <c r="K4527" t="s">
        <v>1809</v>
      </c>
      <c r="L4527" t="str">
        <f>HYPERLINK("https://business-monitor.ch/de/companies/233127-philip-beyrer-motorsport-gmbh?utm_source=oberaargau","PROFIL ANSEHEN")</f>
        <v>PROFIL ANSEHEN</v>
      </c>
    </row>
    <row r="4528" spans="1:12" x14ac:dyDescent="0.2">
      <c r="A4528" t="s">
        <v>9198</v>
      </c>
      <c r="B4528" t="s">
        <v>9199</v>
      </c>
      <c r="C4528" t="s">
        <v>13</v>
      </c>
      <c r="E4528" t="s">
        <v>3649</v>
      </c>
      <c r="F4528">
        <v>3380</v>
      </c>
      <c r="G4528" t="s">
        <v>29</v>
      </c>
      <c r="H4528" t="s">
        <v>16</v>
      </c>
      <c r="I4528" t="s">
        <v>2308</v>
      </c>
      <c r="J4528" t="s">
        <v>2309</v>
      </c>
      <c r="K4528" t="s">
        <v>1809</v>
      </c>
      <c r="L4528" t="str">
        <f>HYPERLINK("https://business-monitor.ch/de/companies/151442-johnsales-ag?utm_source=oberaargau","PROFIL ANSEHEN")</f>
        <v>PROFIL ANSEHEN</v>
      </c>
    </row>
    <row r="4529" spans="1:12" x14ac:dyDescent="0.2">
      <c r="A4529" t="s">
        <v>6738</v>
      </c>
      <c r="B4529" t="s">
        <v>6739</v>
      </c>
      <c r="C4529" t="s">
        <v>202</v>
      </c>
      <c r="E4529" t="s">
        <v>11450</v>
      </c>
      <c r="F4529">
        <v>3360</v>
      </c>
      <c r="G4529" t="s">
        <v>35</v>
      </c>
      <c r="H4529" t="s">
        <v>16</v>
      </c>
      <c r="I4529" t="s">
        <v>2249</v>
      </c>
      <c r="J4529" t="s">
        <v>2250</v>
      </c>
      <c r="K4529" t="s">
        <v>1809</v>
      </c>
      <c r="L4529" t="str">
        <f>HYPERLINK("https://business-monitor.ch/de/companies/131310-schenk-storen-gmbh?utm_source=oberaargau","PROFIL ANSEHEN")</f>
        <v>PROFIL ANSEHEN</v>
      </c>
    </row>
    <row r="4530" spans="1:12" x14ac:dyDescent="0.2">
      <c r="A4530" t="s">
        <v>4803</v>
      </c>
      <c r="B4530" t="s">
        <v>4804</v>
      </c>
      <c r="C4530" t="s">
        <v>13</v>
      </c>
      <c r="E4530" t="s">
        <v>2634</v>
      </c>
      <c r="F4530">
        <v>4932</v>
      </c>
      <c r="G4530" t="s">
        <v>325</v>
      </c>
      <c r="H4530" t="s">
        <v>16</v>
      </c>
      <c r="I4530" t="s">
        <v>906</v>
      </c>
      <c r="J4530" t="s">
        <v>907</v>
      </c>
      <c r="K4530" t="s">
        <v>1809</v>
      </c>
      <c r="L4530" t="str">
        <f>HYPERLINK("https://business-monitor.ch/de/companies/557975-edf-52-ag?utm_source=oberaargau","PROFIL ANSEHEN")</f>
        <v>PROFIL ANSEHEN</v>
      </c>
    </row>
    <row r="4531" spans="1:12" x14ac:dyDescent="0.2">
      <c r="A4531" t="s">
        <v>6735</v>
      </c>
      <c r="B4531" t="s">
        <v>6736</v>
      </c>
      <c r="C4531" t="s">
        <v>202</v>
      </c>
      <c r="E4531" t="s">
        <v>6737</v>
      </c>
      <c r="F4531">
        <v>4934</v>
      </c>
      <c r="G4531" t="s">
        <v>670</v>
      </c>
      <c r="H4531" t="s">
        <v>16</v>
      </c>
      <c r="I4531" t="s">
        <v>2067</v>
      </c>
      <c r="J4531" t="s">
        <v>2068</v>
      </c>
      <c r="K4531" t="s">
        <v>1809</v>
      </c>
      <c r="L4531" t="str">
        <f>HYPERLINK("https://business-monitor.ch/de/companies/131357-maurergeschaeft-martin-gerber-gmbh?utm_source=oberaargau","PROFIL ANSEHEN")</f>
        <v>PROFIL ANSEHEN</v>
      </c>
    </row>
    <row r="4532" spans="1:12" x14ac:dyDescent="0.2">
      <c r="A4532" t="s">
        <v>12113</v>
      </c>
      <c r="B4532" t="s">
        <v>12114</v>
      </c>
      <c r="C4532" t="s">
        <v>1812</v>
      </c>
      <c r="E4532" t="s">
        <v>12115</v>
      </c>
      <c r="F4532">
        <v>4914</v>
      </c>
      <c r="G4532" t="s">
        <v>105</v>
      </c>
      <c r="H4532" t="s">
        <v>16</v>
      </c>
      <c r="I4532" t="s">
        <v>464</v>
      </c>
      <c r="J4532" t="s">
        <v>465</v>
      </c>
      <c r="K4532" t="s">
        <v>1809</v>
      </c>
      <c r="L4532" t="str">
        <f>HYPERLINK("https://business-monitor.ch/de/companies/1189468-stalex-stjepanovic?utm_source=oberaargau","PROFIL ANSEHEN")</f>
        <v>PROFIL ANSEHEN</v>
      </c>
    </row>
    <row r="4533" spans="1:12" x14ac:dyDescent="0.2">
      <c r="A4533" t="s">
        <v>8082</v>
      </c>
      <c r="B4533" t="s">
        <v>8083</v>
      </c>
      <c r="C4533" t="s">
        <v>13</v>
      </c>
      <c r="E4533" t="s">
        <v>8084</v>
      </c>
      <c r="F4533">
        <v>4704</v>
      </c>
      <c r="G4533" t="s">
        <v>221</v>
      </c>
      <c r="H4533" t="s">
        <v>16</v>
      </c>
      <c r="I4533" t="s">
        <v>966</v>
      </c>
      <c r="J4533" t="s">
        <v>967</v>
      </c>
      <c r="K4533" t="s">
        <v>1809</v>
      </c>
      <c r="L4533" t="str">
        <f>HYPERLINK("https://business-monitor.ch/de/companies/1080256-d-born-immobilien-ag?utm_source=oberaargau","PROFIL ANSEHEN")</f>
        <v>PROFIL ANSEHEN</v>
      </c>
    </row>
    <row r="4534" spans="1:12" x14ac:dyDescent="0.2">
      <c r="A4534" t="s">
        <v>2490</v>
      </c>
      <c r="B4534" t="s">
        <v>2491</v>
      </c>
      <c r="C4534" t="s">
        <v>13</v>
      </c>
      <c r="E4534" t="s">
        <v>2492</v>
      </c>
      <c r="F4534">
        <v>4922</v>
      </c>
      <c r="G4534" t="s">
        <v>99</v>
      </c>
      <c r="H4534" t="s">
        <v>16</v>
      </c>
      <c r="I4534" t="s">
        <v>733</v>
      </c>
      <c r="J4534" t="s">
        <v>734</v>
      </c>
      <c r="K4534" t="s">
        <v>1809</v>
      </c>
      <c r="L4534" t="str">
        <f>HYPERLINK("https://business-monitor.ch/de/companies/1080350-ovalis-ag?utm_source=oberaargau","PROFIL ANSEHEN")</f>
        <v>PROFIL ANSEHEN</v>
      </c>
    </row>
    <row r="4535" spans="1:12" x14ac:dyDescent="0.2">
      <c r="A4535" t="s">
        <v>6094</v>
      </c>
      <c r="B4535" t="s">
        <v>6095</v>
      </c>
      <c r="C4535" t="s">
        <v>1812</v>
      </c>
      <c r="E4535" t="s">
        <v>2297</v>
      </c>
      <c r="F4535">
        <v>4537</v>
      </c>
      <c r="G4535" t="s">
        <v>113</v>
      </c>
      <c r="H4535" t="s">
        <v>16</v>
      </c>
      <c r="I4535" t="s">
        <v>642</v>
      </c>
      <c r="J4535" t="s">
        <v>643</v>
      </c>
      <c r="K4535" t="s">
        <v>1809</v>
      </c>
      <c r="L4535" t="str">
        <f>HYPERLINK("https://business-monitor.ch/de/companies/407213-auto-trend-t-zivkovic?utm_source=oberaargau","PROFIL ANSEHEN")</f>
        <v>PROFIL ANSEHEN</v>
      </c>
    </row>
    <row r="4536" spans="1:12" x14ac:dyDescent="0.2">
      <c r="A4536" t="s">
        <v>2118</v>
      </c>
      <c r="B4536" t="s">
        <v>14671</v>
      </c>
      <c r="C4536" t="s">
        <v>13</v>
      </c>
      <c r="E4536" t="s">
        <v>2119</v>
      </c>
      <c r="F4536">
        <v>3372</v>
      </c>
      <c r="G4536" t="s">
        <v>2120</v>
      </c>
      <c r="H4536" t="s">
        <v>16</v>
      </c>
      <c r="I4536" t="s">
        <v>824</v>
      </c>
      <c r="J4536" t="s">
        <v>825</v>
      </c>
      <c r="K4536" t="s">
        <v>1809</v>
      </c>
      <c r="L4536" t="str">
        <f>HYPERLINK("https://business-monitor.ch/de/companies/42909-insider-pub-betriebs-ag?utm_source=oberaargau","PROFIL ANSEHEN")</f>
        <v>PROFIL ANSEHEN</v>
      </c>
    </row>
    <row r="4537" spans="1:12" x14ac:dyDescent="0.2">
      <c r="A4537" t="s">
        <v>4208</v>
      </c>
      <c r="B4537" t="s">
        <v>4209</v>
      </c>
      <c r="C4537" t="s">
        <v>13</v>
      </c>
      <c r="E4537" t="s">
        <v>1673</v>
      </c>
      <c r="F4537">
        <v>4932</v>
      </c>
      <c r="G4537" t="s">
        <v>325</v>
      </c>
      <c r="H4537" t="s">
        <v>16</v>
      </c>
      <c r="I4537" t="s">
        <v>182</v>
      </c>
      <c r="J4537" t="s">
        <v>183</v>
      </c>
      <c r="K4537" t="s">
        <v>1809</v>
      </c>
      <c r="L4537" t="str">
        <f>HYPERLINK("https://business-monitor.ch/de/companies/999087-von-schulthess-holding-ag?utm_source=oberaargau","PROFIL ANSEHEN")</f>
        <v>PROFIL ANSEHEN</v>
      </c>
    </row>
    <row r="4538" spans="1:12" x14ac:dyDescent="0.2">
      <c r="A4538" t="s">
        <v>10068</v>
      </c>
      <c r="B4538" t="s">
        <v>10069</v>
      </c>
      <c r="C4538" t="s">
        <v>13</v>
      </c>
      <c r="E4538" t="s">
        <v>6010</v>
      </c>
      <c r="F4538">
        <v>4853</v>
      </c>
      <c r="G4538" t="s">
        <v>830</v>
      </c>
      <c r="H4538" t="s">
        <v>16</v>
      </c>
      <c r="I4538" t="s">
        <v>955</v>
      </c>
      <c r="J4538" t="s">
        <v>956</v>
      </c>
      <c r="K4538" t="s">
        <v>1809</v>
      </c>
      <c r="L4538" t="str">
        <f>HYPERLINK("https://business-monitor.ch/de/companies/693460-kasawyn-ag?utm_source=oberaargau","PROFIL ANSEHEN")</f>
        <v>PROFIL ANSEHEN</v>
      </c>
    </row>
    <row r="4539" spans="1:12" x14ac:dyDescent="0.2">
      <c r="A4539" t="s">
        <v>5590</v>
      </c>
      <c r="B4539" t="s">
        <v>5591</v>
      </c>
      <c r="C4539" t="s">
        <v>202</v>
      </c>
      <c r="E4539" t="s">
        <v>5592</v>
      </c>
      <c r="F4539">
        <v>4536</v>
      </c>
      <c r="G4539" t="s">
        <v>1395</v>
      </c>
      <c r="H4539" t="s">
        <v>16</v>
      </c>
      <c r="I4539" t="s">
        <v>260</v>
      </c>
      <c r="J4539" t="s">
        <v>261</v>
      </c>
      <c r="K4539" t="s">
        <v>1809</v>
      </c>
      <c r="L4539" t="str">
        <f>HYPERLINK("https://business-monitor.ch/de/companies/1080960-quinlan-cemms-gmbh?utm_source=oberaargau","PROFIL ANSEHEN")</f>
        <v>PROFIL ANSEHEN</v>
      </c>
    </row>
    <row r="4540" spans="1:12" x14ac:dyDescent="0.2">
      <c r="A4540" t="s">
        <v>3664</v>
      </c>
      <c r="B4540" t="s">
        <v>3665</v>
      </c>
      <c r="C4540" t="s">
        <v>202</v>
      </c>
      <c r="E4540" t="s">
        <v>2629</v>
      </c>
      <c r="F4540">
        <v>4912</v>
      </c>
      <c r="G4540" t="s">
        <v>64</v>
      </c>
      <c r="H4540" t="s">
        <v>16</v>
      </c>
      <c r="I4540" t="s">
        <v>186</v>
      </c>
      <c r="J4540" t="s">
        <v>187</v>
      </c>
      <c r="K4540" t="s">
        <v>1809</v>
      </c>
      <c r="L4540" t="str">
        <f>HYPERLINK("https://business-monitor.ch/de/companies/44054-hen-83-gmbh?utm_source=oberaargau","PROFIL ANSEHEN")</f>
        <v>PROFIL ANSEHEN</v>
      </c>
    </row>
    <row r="4541" spans="1:12" x14ac:dyDescent="0.2">
      <c r="A4541" t="s">
        <v>4563</v>
      </c>
      <c r="B4541" t="s">
        <v>4564</v>
      </c>
      <c r="C4541" t="s">
        <v>13</v>
      </c>
      <c r="E4541" t="s">
        <v>4565</v>
      </c>
      <c r="F4541">
        <v>4900</v>
      </c>
      <c r="G4541" t="s">
        <v>41</v>
      </c>
      <c r="H4541" t="s">
        <v>16</v>
      </c>
      <c r="I4541" t="s">
        <v>186</v>
      </c>
      <c r="J4541" t="s">
        <v>187</v>
      </c>
      <c r="K4541" t="s">
        <v>1809</v>
      </c>
      <c r="L4541" t="str">
        <f>HYPERLINK("https://business-monitor.ch/de/companies/654325-laederach-lagersysteme-holding-ag?utm_source=oberaargau","PROFIL ANSEHEN")</f>
        <v>PROFIL ANSEHEN</v>
      </c>
    </row>
    <row r="4542" spans="1:12" x14ac:dyDescent="0.2">
      <c r="A4542" t="s">
        <v>4553</v>
      </c>
      <c r="B4542" t="s">
        <v>4554</v>
      </c>
      <c r="C4542" t="s">
        <v>202</v>
      </c>
      <c r="E4542" t="s">
        <v>573</v>
      </c>
      <c r="F4542">
        <v>4912</v>
      </c>
      <c r="G4542" t="s">
        <v>64</v>
      </c>
      <c r="H4542" t="s">
        <v>16</v>
      </c>
      <c r="I4542" t="s">
        <v>331</v>
      </c>
      <c r="J4542" t="s">
        <v>332</v>
      </c>
      <c r="K4542" t="s">
        <v>1809</v>
      </c>
      <c r="L4542" t="str">
        <f>HYPERLINK("https://business-monitor.ch/de/companies/656440-ro-am-gmbh?utm_source=oberaargau","PROFIL ANSEHEN")</f>
        <v>PROFIL ANSEHEN</v>
      </c>
    </row>
    <row r="4543" spans="1:12" x14ac:dyDescent="0.2">
      <c r="A4543" t="s">
        <v>3617</v>
      </c>
      <c r="B4543" t="s">
        <v>3618</v>
      </c>
      <c r="C4543" t="s">
        <v>13</v>
      </c>
      <c r="E4543" t="s">
        <v>3619</v>
      </c>
      <c r="F4543">
        <v>4914</v>
      </c>
      <c r="G4543" t="s">
        <v>105</v>
      </c>
      <c r="H4543" t="s">
        <v>16</v>
      </c>
      <c r="I4543" t="s">
        <v>935</v>
      </c>
      <c r="J4543" t="s">
        <v>936</v>
      </c>
      <c r="K4543" t="s">
        <v>1809</v>
      </c>
      <c r="L4543" t="str">
        <f>HYPERLINK("https://business-monitor.ch/de/companies/87390-immogruetter-ag?utm_source=oberaargau","PROFIL ANSEHEN")</f>
        <v>PROFIL ANSEHEN</v>
      </c>
    </row>
    <row r="4544" spans="1:12" x14ac:dyDescent="0.2">
      <c r="A4544" t="s">
        <v>4489</v>
      </c>
      <c r="B4544" t="s">
        <v>4490</v>
      </c>
      <c r="C4544" t="s">
        <v>13</v>
      </c>
      <c r="E4544" t="s">
        <v>473</v>
      </c>
      <c r="F4544">
        <v>4900</v>
      </c>
      <c r="G4544" t="s">
        <v>41</v>
      </c>
      <c r="H4544" t="s">
        <v>16</v>
      </c>
      <c r="I4544" t="s">
        <v>935</v>
      </c>
      <c r="J4544" t="s">
        <v>936</v>
      </c>
      <c r="K4544" t="s">
        <v>1809</v>
      </c>
      <c r="L4544" t="str">
        <f>HYPERLINK("https://business-monitor.ch/de/companies/702746-sagru-ag?utm_source=oberaargau","PROFIL ANSEHEN")</f>
        <v>PROFIL ANSEHEN</v>
      </c>
    </row>
    <row r="4545" spans="1:12" x14ac:dyDescent="0.2">
      <c r="A4545" t="s">
        <v>6908</v>
      </c>
      <c r="B4545" t="s">
        <v>6909</v>
      </c>
      <c r="C4545" t="s">
        <v>84</v>
      </c>
      <c r="D4545" t="s">
        <v>6910</v>
      </c>
      <c r="E4545" t="s">
        <v>14672</v>
      </c>
      <c r="F4545">
        <v>3367</v>
      </c>
      <c r="G4545" t="s">
        <v>1336</v>
      </c>
      <c r="H4545" t="s">
        <v>16</v>
      </c>
      <c r="I4545" t="s">
        <v>2921</v>
      </c>
      <c r="J4545" t="s">
        <v>2922</v>
      </c>
      <c r="K4545" t="s">
        <v>1809</v>
      </c>
      <c r="L4545" t="str">
        <f>HYPERLINK("https://business-monitor.ch/de/companies/19507-pferdeversicherungs-genossenschaft-ochlenberg?utm_source=oberaargau","PROFIL ANSEHEN")</f>
        <v>PROFIL ANSEHEN</v>
      </c>
    </row>
    <row r="4546" spans="1:12" x14ac:dyDescent="0.2">
      <c r="A4546" t="s">
        <v>3984</v>
      </c>
      <c r="B4546" t="s">
        <v>3985</v>
      </c>
      <c r="C4546" t="s">
        <v>13</v>
      </c>
      <c r="D4546" t="s">
        <v>3986</v>
      </c>
      <c r="E4546" t="s">
        <v>3987</v>
      </c>
      <c r="F4546">
        <v>4932</v>
      </c>
      <c r="G4546" t="s">
        <v>325</v>
      </c>
      <c r="H4546" t="s">
        <v>16</v>
      </c>
      <c r="I4546" t="s">
        <v>186</v>
      </c>
      <c r="J4546" t="s">
        <v>187</v>
      </c>
      <c r="K4546" t="s">
        <v>1809</v>
      </c>
      <c r="L4546" t="str">
        <f>HYPERLINK("https://business-monitor.ch/de/companies/702815-peter-hess-holding-ag?utm_source=oberaargau","PROFIL ANSEHEN")</f>
        <v>PROFIL ANSEHEN</v>
      </c>
    </row>
    <row r="4547" spans="1:12" x14ac:dyDescent="0.2">
      <c r="A4547" t="s">
        <v>4485</v>
      </c>
      <c r="B4547" t="s">
        <v>4486</v>
      </c>
      <c r="C4547" t="s">
        <v>13</v>
      </c>
      <c r="E4547" t="s">
        <v>973</v>
      </c>
      <c r="F4547">
        <v>4938</v>
      </c>
      <c r="G4547" t="s">
        <v>618</v>
      </c>
      <c r="H4547" t="s">
        <v>16</v>
      </c>
      <c r="I4547" t="s">
        <v>182</v>
      </c>
      <c r="J4547" t="s">
        <v>183</v>
      </c>
      <c r="K4547" t="s">
        <v>1809</v>
      </c>
      <c r="L4547" t="str">
        <f>HYPERLINK("https://business-monitor.ch/de/companies/702816-romo-holding-ag-rohrbach?utm_source=oberaargau","PROFIL ANSEHEN")</f>
        <v>PROFIL ANSEHEN</v>
      </c>
    </row>
    <row r="4548" spans="1:12" x14ac:dyDescent="0.2">
      <c r="A4548" t="s">
        <v>7544</v>
      </c>
      <c r="B4548" t="s">
        <v>7545</v>
      </c>
      <c r="C4548" t="s">
        <v>202</v>
      </c>
      <c r="E4548" t="s">
        <v>7546</v>
      </c>
      <c r="F4548">
        <v>3380</v>
      </c>
      <c r="G4548" t="s">
        <v>29</v>
      </c>
      <c r="H4548" t="s">
        <v>16</v>
      </c>
      <c r="I4548" t="s">
        <v>4641</v>
      </c>
      <c r="J4548" t="s">
        <v>4642</v>
      </c>
      <c r="K4548" t="s">
        <v>1809</v>
      </c>
      <c r="L4548" t="str">
        <f>HYPERLINK("https://business-monitor.ch/de/companies/703094-aditime-gmbh?utm_source=oberaargau","PROFIL ANSEHEN")</f>
        <v>PROFIL ANSEHEN</v>
      </c>
    </row>
    <row r="4549" spans="1:12" x14ac:dyDescent="0.2">
      <c r="A4549" t="s">
        <v>2393</v>
      </c>
      <c r="B4549" t="s">
        <v>2394</v>
      </c>
      <c r="C4549" t="s">
        <v>2258</v>
      </c>
      <c r="E4549" t="s">
        <v>2395</v>
      </c>
      <c r="F4549">
        <v>4900</v>
      </c>
      <c r="G4549" t="s">
        <v>41</v>
      </c>
      <c r="H4549" t="s">
        <v>16</v>
      </c>
      <c r="I4549" t="s">
        <v>640</v>
      </c>
      <c r="J4549" t="s">
        <v>641</v>
      </c>
      <c r="K4549" t="s">
        <v>1809</v>
      </c>
      <c r="L4549" t="str">
        <f>HYPERLINK("https://business-monitor.ch/de/companies/59996-portugiesischer-verein-von-langenthal?utm_source=oberaargau","PROFIL ANSEHEN")</f>
        <v>PROFIL ANSEHEN</v>
      </c>
    </row>
    <row r="4550" spans="1:12" x14ac:dyDescent="0.2">
      <c r="A4550" t="s">
        <v>8605</v>
      </c>
      <c r="B4550" t="s">
        <v>8606</v>
      </c>
      <c r="C4550" t="s">
        <v>1812</v>
      </c>
      <c r="E4550" t="s">
        <v>13054</v>
      </c>
      <c r="F4550">
        <v>4922</v>
      </c>
      <c r="G4550" t="s">
        <v>99</v>
      </c>
      <c r="H4550" t="s">
        <v>16</v>
      </c>
      <c r="I4550" t="s">
        <v>800</v>
      </c>
      <c r="J4550" t="s">
        <v>801</v>
      </c>
      <c r="K4550" t="s">
        <v>1809</v>
      </c>
      <c r="L4550" t="str">
        <f>HYPERLINK("https://business-monitor.ch/de/companies/935422-homecraftery-s-graeub?utm_source=oberaargau","PROFIL ANSEHEN")</f>
        <v>PROFIL ANSEHEN</v>
      </c>
    </row>
    <row r="4551" spans="1:12" x14ac:dyDescent="0.2">
      <c r="A4551" t="s">
        <v>9226</v>
      </c>
      <c r="B4551" t="s">
        <v>9227</v>
      </c>
      <c r="C4551" t="s">
        <v>13</v>
      </c>
      <c r="E4551" t="s">
        <v>3269</v>
      </c>
      <c r="F4551">
        <v>4900</v>
      </c>
      <c r="G4551" t="s">
        <v>41</v>
      </c>
      <c r="H4551" t="s">
        <v>16</v>
      </c>
      <c r="I4551" t="s">
        <v>642</v>
      </c>
      <c r="J4551" t="s">
        <v>643</v>
      </c>
      <c r="K4551" t="s">
        <v>1809</v>
      </c>
      <c r="L4551" t="str">
        <f>HYPERLINK("https://business-monitor.ch/de/companies/132094-garage-ryser-ag?utm_source=oberaargau","PROFIL ANSEHEN")</f>
        <v>PROFIL ANSEHEN</v>
      </c>
    </row>
    <row r="4552" spans="1:12" x14ac:dyDescent="0.2">
      <c r="A4552" t="s">
        <v>10795</v>
      </c>
      <c r="B4552" t="s">
        <v>10796</v>
      </c>
      <c r="C4552" t="s">
        <v>202</v>
      </c>
      <c r="E4552" t="s">
        <v>11960</v>
      </c>
      <c r="F4552">
        <v>4900</v>
      </c>
      <c r="G4552" t="s">
        <v>41</v>
      </c>
      <c r="H4552" t="s">
        <v>16</v>
      </c>
      <c r="I4552" t="s">
        <v>298</v>
      </c>
      <c r="J4552" t="s">
        <v>299</v>
      </c>
      <c r="K4552" t="s">
        <v>1809</v>
      </c>
      <c r="L4552" t="str">
        <f>HYPERLINK("https://business-monitor.ch/de/companies/703546-beni-export-gmbh?utm_source=oberaargau","PROFIL ANSEHEN")</f>
        <v>PROFIL ANSEHEN</v>
      </c>
    </row>
    <row r="4553" spans="1:12" x14ac:dyDescent="0.2">
      <c r="A4553" t="s">
        <v>9867</v>
      </c>
      <c r="B4553" t="s">
        <v>12178</v>
      </c>
      <c r="C4553" t="s">
        <v>1812</v>
      </c>
      <c r="E4553" t="s">
        <v>573</v>
      </c>
      <c r="F4553">
        <v>4912</v>
      </c>
      <c r="G4553" t="s">
        <v>64</v>
      </c>
      <c r="H4553" t="s">
        <v>16</v>
      </c>
      <c r="I4553" t="s">
        <v>748</v>
      </c>
      <c r="J4553" t="s">
        <v>749</v>
      </c>
      <c r="K4553" t="s">
        <v>1809</v>
      </c>
      <c r="L4553" t="str">
        <f>HYPERLINK("https://business-monitor.ch/de/companies/986136-jost-handwerk?utm_source=oberaargau","PROFIL ANSEHEN")</f>
        <v>PROFIL ANSEHEN</v>
      </c>
    </row>
    <row r="4554" spans="1:12" x14ac:dyDescent="0.2">
      <c r="A4554" t="s">
        <v>9734</v>
      </c>
      <c r="B4554" t="s">
        <v>9735</v>
      </c>
      <c r="C4554" t="s">
        <v>202</v>
      </c>
      <c r="D4554" t="s">
        <v>2150</v>
      </c>
      <c r="E4554" t="s">
        <v>1357</v>
      </c>
      <c r="F4554">
        <v>4900</v>
      </c>
      <c r="G4554" t="s">
        <v>41</v>
      </c>
      <c r="H4554" t="s">
        <v>16</v>
      </c>
      <c r="I4554" t="s">
        <v>854</v>
      </c>
      <c r="J4554" t="s">
        <v>855</v>
      </c>
      <c r="K4554" t="s">
        <v>1809</v>
      </c>
      <c r="L4554" t="str">
        <f>HYPERLINK("https://business-monitor.ch/de/companies/1036394-vasacs-gmbh?utm_source=oberaargau","PROFIL ANSEHEN")</f>
        <v>PROFIL ANSEHEN</v>
      </c>
    </row>
    <row r="4555" spans="1:12" x14ac:dyDescent="0.2">
      <c r="A4555" t="s">
        <v>3351</v>
      </c>
      <c r="B4555" t="s">
        <v>6250</v>
      </c>
      <c r="C4555" t="s">
        <v>1812</v>
      </c>
      <c r="E4555" t="s">
        <v>4996</v>
      </c>
      <c r="F4555">
        <v>3367</v>
      </c>
      <c r="G4555" t="s">
        <v>455</v>
      </c>
      <c r="H4555" t="s">
        <v>16</v>
      </c>
      <c r="I4555" t="s">
        <v>596</v>
      </c>
      <c r="J4555" t="s">
        <v>597</v>
      </c>
      <c r="K4555" t="s">
        <v>1809</v>
      </c>
      <c r="L4555" t="str">
        <f>HYPERLINK("https://business-monitor.ch/de/companies/210435-simon-uebersax?utm_source=oberaargau","PROFIL ANSEHEN")</f>
        <v>PROFIL ANSEHEN</v>
      </c>
    </row>
    <row r="4556" spans="1:12" x14ac:dyDescent="0.2">
      <c r="A4556" t="s">
        <v>2317</v>
      </c>
      <c r="B4556" t="s">
        <v>2318</v>
      </c>
      <c r="C4556" t="s">
        <v>13</v>
      </c>
      <c r="D4556" t="s">
        <v>2319</v>
      </c>
      <c r="E4556" t="s">
        <v>2320</v>
      </c>
      <c r="F4556">
        <v>4900</v>
      </c>
      <c r="G4556" t="s">
        <v>41</v>
      </c>
      <c r="H4556" t="s">
        <v>16</v>
      </c>
      <c r="I4556" t="s">
        <v>157</v>
      </c>
      <c r="J4556" t="s">
        <v>158</v>
      </c>
      <c r="K4556" t="s">
        <v>1809</v>
      </c>
      <c r="L4556" t="str">
        <f>HYPERLINK("https://business-monitor.ch/de/companies/238075-a-f-immo-ag?utm_source=oberaargau","PROFIL ANSEHEN")</f>
        <v>PROFIL ANSEHEN</v>
      </c>
    </row>
    <row r="4557" spans="1:12" x14ac:dyDescent="0.2">
      <c r="A4557" t="s">
        <v>8973</v>
      </c>
      <c r="B4557" t="s">
        <v>8974</v>
      </c>
      <c r="C4557" t="s">
        <v>1922</v>
      </c>
      <c r="D4557" t="s">
        <v>8975</v>
      </c>
      <c r="E4557" t="s">
        <v>40</v>
      </c>
      <c r="F4557">
        <v>4900</v>
      </c>
      <c r="G4557" t="s">
        <v>41</v>
      </c>
      <c r="H4557" t="s">
        <v>16</v>
      </c>
      <c r="I4557" t="s">
        <v>2116</v>
      </c>
      <c r="J4557" t="s">
        <v>2117</v>
      </c>
      <c r="K4557" t="s">
        <v>1809</v>
      </c>
      <c r="L4557" t="str">
        <f>HYPERLINK("https://business-monitor.ch/de/companies/254369-personalstiftung-creation-baumann-ag?utm_source=oberaargau","PROFIL ANSEHEN")</f>
        <v>PROFIL ANSEHEN</v>
      </c>
    </row>
    <row r="4558" spans="1:12" x14ac:dyDescent="0.2">
      <c r="A4558" t="s">
        <v>5609</v>
      </c>
      <c r="B4558" t="s">
        <v>5610</v>
      </c>
      <c r="C4558" t="s">
        <v>202</v>
      </c>
      <c r="E4558" t="s">
        <v>5611</v>
      </c>
      <c r="F4558">
        <v>3362</v>
      </c>
      <c r="G4558" t="s">
        <v>47</v>
      </c>
      <c r="H4558" t="s">
        <v>16</v>
      </c>
      <c r="I4558" t="s">
        <v>260</v>
      </c>
      <c r="J4558" t="s">
        <v>261</v>
      </c>
      <c r="K4558" t="s">
        <v>1809</v>
      </c>
      <c r="L4558" t="str">
        <f>HYPERLINK("https://business-monitor.ch/de/companies/508789-bauen-mit-bieli-gmbh?utm_source=oberaargau","PROFIL ANSEHEN")</f>
        <v>PROFIL ANSEHEN</v>
      </c>
    </row>
    <row r="4559" spans="1:12" x14ac:dyDescent="0.2">
      <c r="A4559" t="s">
        <v>7967</v>
      </c>
      <c r="B4559" t="s">
        <v>7968</v>
      </c>
      <c r="C4559" t="s">
        <v>1812</v>
      </c>
      <c r="E4559" t="s">
        <v>7969</v>
      </c>
      <c r="F4559">
        <v>3373</v>
      </c>
      <c r="G4559" t="s">
        <v>2429</v>
      </c>
      <c r="H4559" t="s">
        <v>16</v>
      </c>
      <c r="I4559" t="s">
        <v>175</v>
      </c>
      <c r="J4559" t="s">
        <v>176</v>
      </c>
      <c r="K4559" t="s">
        <v>1809</v>
      </c>
      <c r="L4559" t="str">
        <f>HYPERLINK("https://business-monitor.ch/de/companies/1077240-carrolack-carrosserie-martin-schneider?utm_source=oberaargau","PROFIL ANSEHEN")</f>
        <v>PROFIL ANSEHEN</v>
      </c>
    </row>
    <row r="4560" spans="1:12" x14ac:dyDescent="0.2">
      <c r="A4560" t="s">
        <v>6517</v>
      </c>
      <c r="B4560" t="s">
        <v>6518</v>
      </c>
      <c r="C4560" t="s">
        <v>202</v>
      </c>
      <c r="E4560" t="s">
        <v>6519</v>
      </c>
      <c r="F4560">
        <v>3360</v>
      </c>
      <c r="G4560" t="s">
        <v>35</v>
      </c>
      <c r="H4560" t="s">
        <v>16</v>
      </c>
      <c r="I4560" t="s">
        <v>1852</v>
      </c>
      <c r="J4560" t="s">
        <v>1853</v>
      </c>
      <c r="K4560" t="s">
        <v>1809</v>
      </c>
      <c r="L4560" t="str">
        <f>HYPERLINK("https://business-monitor.ch/de/companies/238619-sollberger-bauakkord-gmbh?utm_source=oberaargau","PROFIL ANSEHEN")</f>
        <v>PROFIL ANSEHEN</v>
      </c>
    </row>
    <row r="4561" spans="1:12" x14ac:dyDescent="0.2">
      <c r="A4561" t="s">
        <v>4762</v>
      </c>
      <c r="B4561" t="s">
        <v>4763</v>
      </c>
      <c r="C4561" t="s">
        <v>13</v>
      </c>
      <c r="E4561" t="s">
        <v>4764</v>
      </c>
      <c r="F4561">
        <v>4704</v>
      </c>
      <c r="G4561" t="s">
        <v>221</v>
      </c>
      <c r="H4561" t="s">
        <v>16</v>
      </c>
      <c r="I4561" t="s">
        <v>2825</v>
      </c>
      <c r="J4561" t="s">
        <v>2826</v>
      </c>
      <c r="K4561" t="s">
        <v>1809</v>
      </c>
      <c r="L4561" t="str">
        <f>HYPERLINK("https://business-monitor.ch/de/companies/572384-roth-schriften-ag?utm_source=oberaargau","PROFIL ANSEHEN")</f>
        <v>PROFIL ANSEHEN</v>
      </c>
    </row>
    <row r="4562" spans="1:12" x14ac:dyDescent="0.2">
      <c r="A4562" t="s">
        <v>7619</v>
      </c>
      <c r="B4562" t="s">
        <v>7620</v>
      </c>
      <c r="C4562" t="s">
        <v>13</v>
      </c>
      <c r="E4562" t="s">
        <v>7621</v>
      </c>
      <c r="F4562">
        <v>4704</v>
      </c>
      <c r="G4562" t="s">
        <v>221</v>
      </c>
      <c r="H4562" t="s">
        <v>16</v>
      </c>
      <c r="I4562" t="s">
        <v>157</v>
      </c>
      <c r="J4562" t="s">
        <v>158</v>
      </c>
      <c r="K4562" t="s">
        <v>1809</v>
      </c>
      <c r="L4562" t="str">
        <f>HYPERLINK("https://business-monitor.ch/de/companies/656744-amrain-invest-ag?utm_source=oberaargau","PROFIL ANSEHEN")</f>
        <v>PROFIL ANSEHEN</v>
      </c>
    </row>
    <row r="4563" spans="1:12" x14ac:dyDescent="0.2">
      <c r="A4563" t="s">
        <v>9277</v>
      </c>
      <c r="B4563" t="s">
        <v>9278</v>
      </c>
      <c r="C4563" t="s">
        <v>202</v>
      </c>
      <c r="E4563" t="s">
        <v>9279</v>
      </c>
      <c r="F4563">
        <v>4900</v>
      </c>
      <c r="G4563" t="s">
        <v>41</v>
      </c>
      <c r="H4563" t="s">
        <v>16</v>
      </c>
      <c r="I4563" t="s">
        <v>4039</v>
      </c>
      <c r="J4563" t="s">
        <v>4040</v>
      </c>
      <c r="K4563" t="s">
        <v>1809</v>
      </c>
      <c r="L4563" t="str">
        <f>HYPERLINK("https://business-monitor.ch/de/companies/107109-active-gym-33-gmbh?utm_source=oberaargau","PROFIL ANSEHEN")</f>
        <v>PROFIL ANSEHEN</v>
      </c>
    </row>
    <row r="4564" spans="1:12" x14ac:dyDescent="0.2">
      <c r="A4564" t="s">
        <v>3520</v>
      </c>
      <c r="B4564" t="s">
        <v>3521</v>
      </c>
      <c r="C4564" t="s">
        <v>1812</v>
      </c>
      <c r="E4564" t="s">
        <v>3522</v>
      </c>
      <c r="F4564">
        <v>4900</v>
      </c>
      <c r="G4564" t="s">
        <v>41</v>
      </c>
      <c r="H4564" t="s">
        <v>16</v>
      </c>
      <c r="I4564" t="s">
        <v>260</v>
      </c>
      <c r="J4564" t="s">
        <v>261</v>
      </c>
      <c r="K4564" t="s">
        <v>1809</v>
      </c>
      <c r="L4564" t="str">
        <f>HYPERLINK("https://business-monitor.ch/de/companies/151969-schick-immobilienzentrum?utm_source=oberaargau","PROFIL ANSEHEN")</f>
        <v>PROFIL ANSEHEN</v>
      </c>
    </row>
    <row r="4565" spans="1:12" x14ac:dyDescent="0.2">
      <c r="A4565" t="s">
        <v>6989</v>
      </c>
      <c r="B4565" t="s">
        <v>11780</v>
      </c>
      <c r="C4565" t="s">
        <v>2178</v>
      </c>
      <c r="E4565" t="s">
        <v>6990</v>
      </c>
      <c r="F4565">
        <v>4900</v>
      </c>
      <c r="G4565" t="s">
        <v>41</v>
      </c>
      <c r="H4565" t="s">
        <v>16</v>
      </c>
      <c r="I4565" t="s">
        <v>134</v>
      </c>
      <c r="J4565" t="s">
        <v>135</v>
      </c>
      <c r="K4565" t="s">
        <v>1809</v>
      </c>
      <c r="L4565" t="str">
        <f>HYPERLINK("https://business-monitor.ch/de/companies/1020221-aek-ag?utm_source=oberaargau","PROFIL ANSEHEN")</f>
        <v>PROFIL ANSEHEN</v>
      </c>
    </row>
    <row r="4566" spans="1:12" x14ac:dyDescent="0.2">
      <c r="A4566" t="s">
        <v>6570</v>
      </c>
      <c r="B4566" t="s">
        <v>6571</v>
      </c>
      <c r="C4566" t="s">
        <v>13</v>
      </c>
      <c r="E4566" t="s">
        <v>1346</v>
      </c>
      <c r="F4566">
        <v>4950</v>
      </c>
      <c r="G4566" t="s">
        <v>15</v>
      </c>
      <c r="H4566" t="s">
        <v>16</v>
      </c>
      <c r="I4566" t="s">
        <v>1918</v>
      </c>
      <c r="J4566" t="s">
        <v>1919</v>
      </c>
      <c r="K4566" t="s">
        <v>1809</v>
      </c>
      <c r="L4566" t="str">
        <f>HYPERLINK("https://business-monitor.ch/de/companies/222023-wegmueller-optik-ag?utm_source=oberaargau","PROFIL ANSEHEN")</f>
        <v>PROFIL ANSEHEN</v>
      </c>
    </row>
    <row r="4567" spans="1:12" x14ac:dyDescent="0.2">
      <c r="A4567" t="s">
        <v>11416</v>
      </c>
      <c r="B4567" t="s">
        <v>14284</v>
      </c>
      <c r="C4567" t="s">
        <v>13</v>
      </c>
      <c r="E4567" t="s">
        <v>13321</v>
      </c>
      <c r="F4567">
        <v>3360</v>
      </c>
      <c r="G4567" t="s">
        <v>35</v>
      </c>
      <c r="H4567" t="s">
        <v>16</v>
      </c>
      <c r="I4567" t="s">
        <v>935</v>
      </c>
      <c r="J4567" t="s">
        <v>936</v>
      </c>
      <c r="K4567" t="s">
        <v>1809</v>
      </c>
      <c r="L4567" t="str">
        <f>HYPERLINK("https://business-monitor.ch/de/companies/1124631-asm-real-estate-living-ag?utm_source=oberaargau","PROFIL ANSEHEN")</f>
        <v>PROFIL ANSEHEN</v>
      </c>
    </row>
    <row r="4568" spans="1:12" x14ac:dyDescent="0.2">
      <c r="A4568" t="s">
        <v>11362</v>
      </c>
      <c r="B4568" t="s">
        <v>11363</v>
      </c>
      <c r="C4568" t="s">
        <v>202</v>
      </c>
      <c r="E4568" t="s">
        <v>11364</v>
      </c>
      <c r="F4568">
        <v>3464</v>
      </c>
      <c r="G4568" t="s">
        <v>3044</v>
      </c>
      <c r="H4568" t="s">
        <v>16</v>
      </c>
      <c r="I4568" t="s">
        <v>340</v>
      </c>
      <c r="J4568" t="s">
        <v>341</v>
      </c>
      <c r="K4568" t="s">
        <v>1809</v>
      </c>
      <c r="L4568" t="str">
        <f>HYPERLINK("https://business-monitor.ch/de/companies/1137234-m-schaer-gmbh?utm_source=oberaargau","PROFIL ANSEHEN")</f>
        <v>PROFIL ANSEHEN</v>
      </c>
    </row>
    <row r="4569" spans="1:12" x14ac:dyDescent="0.2">
      <c r="A4569" t="s">
        <v>9864</v>
      </c>
      <c r="B4569" t="s">
        <v>9865</v>
      </c>
      <c r="C4569" t="s">
        <v>202</v>
      </c>
      <c r="E4569" t="s">
        <v>5485</v>
      </c>
      <c r="F4569">
        <v>3380</v>
      </c>
      <c r="G4569" t="s">
        <v>29</v>
      </c>
      <c r="H4569" t="s">
        <v>16</v>
      </c>
      <c r="I4569" t="s">
        <v>232</v>
      </c>
      <c r="J4569" t="s">
        <v>233</v>
      </c>
      <c r="K4569" t="s">
        <v>1809</v>
      </c>
      <c r="L4569" t="str">
        <f>HYPERLINK("https://business-monitor.ch/de/companies/986875-sarefa-gmbh?utm_source=oberaargau","PROFIL ANSEHEN")</f>
        <v>PROFIL ANSEHEN</v>
      </c>
    </row>
    <row r="4570" spans="1:12" x14ac:dyDescent="0.2">
      <c r="A4570" t="s">
        <v>10571</v>
      </c>
      <c r="B4570" t="s">
        <v>10572</v>
      </c>
      <c r="C4570" t="s">
        <v>1812</v>
      </c>
      <c r="E4570" t="s">
        <v>7606</v>
      </c>
      <c r="F4570">
        <v>4538</v>
      </c>
      <c r="G4570" t="s">
        <v>71</v>
      </c>
      <c r="H4570" t="s">
        <v>16</v>
      </c>
      <c r="I4570" t="s">
        <v>4221</v>
      </c>
      <c r="J4570" t="s">
        <v>4222</v>
      </c>
      <c r="K4570" t="s">
        <v>1809</v>
      </c>
      <c r="L4570" t="str">
        <f>HYPERLINK("https://business-monitor.ch/de/companies/351321-kmu-dienste-krenger?utm_source=oberaargau","PROFIL ANSEHEN")</f>
        <v>PROFIL ANSEHEN</v>
      </c>
    </row>
    <row r="4571" spans="1:12" x14ac:dyDescent="0.2">
      <c r="A4571" t="s">
        <v>12891</v>
      </c>
      <c r="B4571" t="s">
        <v>12892</v>
      </c>
      <c r="C4571" t="s">
        <v>1812</v>
      </c>
      <c r="E4571" t="s">
        <v>12893</v>
      </c>
      <c r="F4571">
        <v>4933</v>
      </c>
      <c r="G4571" t="s">
        <v>3812</v>
      </c>
      <c r="H4571" t="s">
        <v>16</v>
      </c>
      <c r="I4571" t="s">
        <v>679</v>
      </c>
      <c r="J4571" t="s">
        <v>680</v>
      </c>
      <c r="K4571" t="s">
        <v>1809</v>
      </c>
      <c r="L4571" t="str">
        <f>HYPERLINK("https://business-monitor.ch/de/companies/1216998-ihr-schreiner-inh-christen?utm_source=oberaargau","PROFIL ANSEHEN")</f>
        <v>PROFIL ANSEHEN</v>
      </c>
    </row>
    <row r="4572" spans="1:12" x14ac:dyDescent="0.2">
      <c r="A4572" t="s">
        <v>2832</v>
      </c>
      <c r="B4572" t="s">
        <v>2833</v>
      </c>
      <c r="C4572" t="s">
        <v>13</v>
      </c>
      <c r="D4572" t="s">
        <v>2834</v>
      </c>
      <c r="E4572" t="s">
        <v>14673</v>
      </c>
      <c r="F4572">
        <v>4913</v>
      </c>
      <c r="G4572" t="s">
        <v>207</v>
      </c>
      <c r="H4572" t="s">
        <v>16</v>
      </c>
      <c r="I4572" t="s">
        <v>935</v>
      </c>
      <c r="J4572" t="s">
        <v>936</v>
      </c>
      <c r="K4572" t="s">
        <v>1809</v>
      </c>
      <c r="L4572" t="str">
        <f>HYPERLINK("https://business-monitor.ch/de/companies/303002-preis-koenig-ag?utm_source=oberaargau","PROFIL ANSEHEN")</f>
        <v>PROFIL ANSEHEN</v>
      </c>
    </row>
    <row r="4573" spans="1:12" x14ac:dyDescent="0.2">
      <c r="A4573" t="s">
        <v>12123</v>
      </c>
      <c r="B4573" t="s">
        <v>12124</v>
      </c>
      <c r="C4573" t="s">
        <v>1812</v>
      </c>
      <c r="E4573" t="s">
        <v>2241</v>
      </c>
      <c r="F4573">
        <v>4538</v>
      </c>
      <c r="G4573" t="s">
        <v>71</v>
      </c>
      <c r="H4573" t="s">
        <v>16</v>
      </c>
      <c r="I4573" t="s">
        <v>2587</v>
      </c>
      <c r="J4573" t="s">
        <v>2588</v>
      </c>
      <c r="K4573" t="s">
        <v>1809</v>
      </c>
      <c r="L4573" t="str">
        <f>HYPERLINK("https://business-monitor.ch/de/companies/647112-blumenfun-by-cappelli?utm_source=oberaargau","PROFIL ANSEHEN")</f>
        <v>PROFIL ANSEHEN</v>
      </c>
    </row>
    <row r="4574" spans="1:12" x14ac:dyDescent="0.2">
      <c r="A4574" t="s">
        <v>13392</v>
      </c>
      <c r="B4574" t="s">
        <v>13393</v>
      </c>
      <c r="C4574" t="s">
        <v>202</v>
      </c>
      <c r="D4574" t="s">
        <v>11648</v>
      </c>
      <c r="E4574" t="s">
        <v>9493</v>
      </c>
      <c r="F4574">
        <v>4912</v>
      </c>
      <c r="G4574" t="s">
        <v>64</v>
      </c>
      <c r="H4574" t="s">
        <v>16</v>
      </c>
      <c r="I4574" t="s">
        <v>748</v>
      </c>
      <c r="J4574" t="s">
        <v>749</v>
      </c>
      <c r="K4574" t="s">
        <v>1809</v>
      </c>
      <c r="L4574" t="str">
        <f>HYPERLINK("https://business-monitor.ch/de/companies/1251121-aps-trockenbau-gmbh?utm_source=oberaargau","PROFIL ANSEHEN")</f>
        <v>PROFIL ANSEHEN</v>
      </c>
    </row>
    <row r="4575" spans="1:12" x14ac:dyDescent="0.2">
      <c r="A4575" t="s">
        <v>10786</v>
      </c>
      <c r="B4575" t="s">
        <v>10787</v>
      </c>
      <c r="C4575" t="s">
        <v>202</v>
      </c>
      <c r="E4575" t="s">
        <v>9820</v>
      </c>
      <c r="F4575">
        <v>4704</v>
      </c>
      <c r="G4575" t="s">
        <v>221</v>
      </c>
      <c r="H4575" t="s">
        <v>16</v>
      </c>
      <c r="I4575" t="s">
        <v>1865</v>
      </c>
      <c r="J4575" t="s">
        <v>1866</v>
      </c>
      <c r="K4575" t="s">
        <v>1809</v>
      </c>
      <c r="L4575" t="str">
        <f>HYPERLINK("https://business-monitor.ch/de/companies/1100244-rl-gebaeudeunterhalt-gmbh?utm_source=oberaargau","PROFIL ANSEHEN")</f>
        <v>PROFIL ANSEHEN</v>
      </c>
    </row>
    <row r="4576" spans="1:12" x14ac:dyDescent="0.2">
      <c r="A4576" t="s">
        <v>2827</v>
      </c>
      <c r="B4576" t="s">
        <v>2828</v>
      </c>
      <c r="C4576" t="s">
        <v>13</v>
      </c>
      <c r="E4576" t="s">
        <v>541</v>
      </c>
      <c r="F4576">
        <v>3360</v>
      </c>
      <c r="G4576" t="s">
        <v>35</v>
      </c>
      <c r="H4576" t="s">
        <v>16</v>
      </c>
      <c r="I4576" t="s">
        <v>186</v>
      </c>
      <c r="J4576" t="s">
        <v>187</v>
      </c>
      <c r="K4576" t="s">
        <v>1809</v>
      </c>
      <c r="L4576" t="str">
        <f>HYPERLINK("https://business-monitor.ch/de/companies/422066-kaempfer-group-ag?utm_source=oberaargau","PROFIL ANSEHEN")</f>
        <v>PROFIL ANSEHEN</v>
      </c>
    </row>
    <row r="4577" spans="1:12" x14ac:dyDescent="0.2">
      <c r="A4577" t="s">
        <v>10916</v>
      </c>
      <c r="B4577" t="s">
        <v>10917</v>
      </c>
      <c r="C4577" t="s">
        <v>202</v>
      </c>
      <c r="E4577" t="s">
        <v>6468</v>
      </c>
      <c r="F4577">
        <v>4900</v>
      </c>
      <c r="G4577" t="s">
        <v>41</v>
      </c>
      <c r="H4577" t="s">
        <v>16</v>
      </c>
      <c r="I4577" t="s">
        <v>12505</v>
      </c>
      <c r="J4577" t="s">
        <v>12506</v>
      </c>
      <c r="K4577" t="s">
        <v>1809</v>
      </c>
      <c r="L4577" t="str">
        <f>HYPERLINK("https://business-monitor.ch/de/companies/656751-schweizerisches-institut-fuer-oeffentliches-management-gmbh?utm_source=oberaargau","PROFIL ANSEHEN")</f>
        <v>PROFIL ANSEHEN</v>
      </c>
    </row>
    <row r="4578" spans="1:12" x14ac:dyDescent="0.2">
      <c r="A4578" t="s">
        <v>11955</v>
      </c>
      <c r="B4578" t="s">
        <v>11956</v>
      </c>
      <c r="C4578" t="s">
        <v>202</v>
      </c>
      <c r="E4578" t="s">
        <v>2529</v>
      </c>
      <c r="F4578">
        <v>3360</v>
      </c>
      <c r="G4578" t="s">
        <v>35</v>
      </c>
      <c r="H4578" t="s">
        <v>16</v>
      </c>
      <c r="I4578" t="s">
        <v>642</v>
      </c>
      <c r="J4578" t="s">
        <v>643</v>
      </c>
      <c r="K4578" t="s">
        <v>1809</v>
      </c>
      <c r="L4578" t="str">
        <f>HYPERLINK("https://business-monitor.ch/de/companies/1168442-autocenter-herzogenbuchsee-gmbh?utm_source=oberaargau","PROFIL ANSEHEN")</f>
        <v>PROFIL ANSEHEN</v>
      </c>
    </row>
    <row r="4579" spans="1:12" x14ac:dyDescent="0.2">
      <c r="A4579" t="s">
        <v>11883</v>
      </c>
      <c r="B4579" t="s">
        <v>12944</v>
      </c>
      <c r="C4579" t="s">
        <v>202</v>
      </c>
      <c r="E4579" t="s">
        <v>3213</v>
      </c>
      <c r="F4579">
        <v>4922</v>
      </c>
      <c r="G4579" t="s">
        <v>99</v>
      </c>
      <c r="H4579" t="s">
        <v>16</v>
      </c>
      <c r="I4579" t="s">
        <v>824</v>
      </c>
      <c r="J4579" t="s">
        <v>825</v>
      </c>
      <c r="K4579" t="s">
        <v>1809</v>
      </c>
      <c r="L4579" t="str">
        <f>HYPERLINK("https://business-monitor.ch/de/companies/1168199-bsh-swiss-gmbh?utm_source=oberaargau","PROFIL ANSEHEN")</f>
        <v>PROFIL ANSEHEN</v>
      </c>
    </row>
    <row r="4580" spans="1:12" x14ac:dyDescent="0.2">
      <c r="A4580" t="s">
        <v>11880</v>
      </c>
      <c r="B4580" t="s">
        <v>11881</v>
      </c>
      <c r="C4580" t="s">
        <v>202</v>
      </c>
      <c r="E4580" t="s">
        <v>11882</v>
      </c>
      <c r="F4580">
        <v>4914</v>
      </c>
      <c r="G4580" t="s">
        <v>105</v>
      </c>
      <c r="H4580" t="s">
        <v>16</v>
      </c>
      <c r="I4580" t="s">
        <v>824</v>
      </c>
      <c r="J4580" t="s">
        <v>825</v>
      </c>
      <c r="K4580" t="s">
        <v>1809</v>
      </c>
      <c r="L4580" t="str">
        <f>HYPERLINK("https://business-monitor.ch/de/companies/1168209-merosa23-gmbh?utm_source=oberaargau","PROFIL ANSEHEN")</f>
        <v>PROFIL ANSEHEN</v>
      </c>
    </row>
    <row r="4581" spans="1:12" x14ac:dyDescent="0.2">
      <c r="A4581" t="s">
        <v>13810</v>
      </c>
      <c r="B4581" t="s">
        <v>13811</v>
      </c>
      <c r="C4581" t="s">
        <v>202</v>
      </c>
      <c r="D4581" t="s">
        <v>13812</v>
      </c>
      <c r="E4581" t="s">
        <v>13813</v>
      </c>
      <c r="F4581">
        <v>4914</v>
      </c>
      <c r="G4581" t="s">
        <v>105</v>
      </c>
      <c r="H4581" t="s">
        <v>16</v>
      </c>
      <c r="I4581" t="s">
        <v>2213</v>
      </c>
      <c r="J4581" t="s">
        <v>2214</v>
      </c>
      <c r="K4581" t="s">
        <v>1809</v>
      </c>
      <c r="L4581" t="str">
        <f>HYPERLINK("https://business-monitor.ch/de/companies/636506-hafa-gmbh?utm_source=oberaargau","PROFIL ANSEHEN")</f>
        <v>PROFIL ANSEHEN</v>
      </c>
    </row>
    <row r="4582" spans="1:12" x14ac:dyDescent="0.2">
      <c r="A4582" t="s">
        <v>7064</v>
      </c>
      <c r="B4582" t="s">
        <v>7065</v>
      </c>
      <c r="C4582" t="s">
        <v>202</v>
      </c>
      <c r="E4582" t="s">
        <v>7066</v>
      </c>
      <c r="F4582">
        <v>4932</v>
      </c>
      <c r="G4582" t="s">
        <v>325</v>
      </c>
      <c r="H4582" t="s">
        <v>16</v>
      </c>
      <c r="I4582" t="s">
        <v>134</v>
      </c>
      <c r="J4582" t="s">
        <v>135</v>
      </c>
      <c r="K4582" t="s">
        <v>1809</v>
      </c>
      <c r="L4582" t="str">
        <f>HYPERLINK("https://business-monitor.ch/de/companies/565591-k-elektro-gmbh?utm_source=oberaargau","PROFIL ANSEHEN")</f>
        <v>PROFIL ANSEHEN</v>
      </c>
    </row>
    <row r="4583" spans="1:12" x14ac:dyDescent="0.2">
      <c r="A4583" t="s">
        <v>11984</v>
      </c>
      <c r="B4583" t="s">
        <v>11985</v>
      </c>
      <c r="C4583" t="s">
        <v>202</v>
      </c>
      <c r="E4583" t="s">
        <v>11986</v>
      </c>
      <c r="F4583">
        <v>4952</v>
      </c>
      <c r="G4583" t="s">
        <v>474</v>
      </c>
      <c r="H4583" t="s">
        <v>16</v>
      </c>
      <c r="I4583" t="s">
        <v>4277</v>
      </c>
      <c r="J4583" t="s">
        <v>4278</v>
      </c>
      <c r="K4583" t="s">
        <v>1809</v>
      </c>
      <c r="L4583" t="str">
        <f>HYPERLINK("https://business-monitor.ch/de/companies/1169155-erdarbeiten-ruch-gmbh?utm_source=oberaargau","PROFIL ANSEHEN")</f>
        <v>PROFIL ANSEHEN</v>
      </c>
    </row>
    <row r="4584" spans="1:12" x14ac:dyDescent="0.2">
      <c r="A4584" t="s">
        <v>8839</v>
      </c>
      <c r="B4584" t="s">
        <v>8840</v>
      </c>
      <c r="C4584" t="s">
        <v>13</v>
      </c>
      <c r="D4584" t="s">
        <v>2125</v>
      </c>
      <c r="E4584" t="s">
        <v>2126</v>
      </c>
      <c r="F4584">
        <v>3475</v>
      </c>
      <c r="G4584" t="s">
        <v>2127</v>
      </c>
      <c r="H4584" t="s">
        <v>16</v>
      </c>
      <c r="I4584" t="s">
        <v>186</v>
      </c>
      <c r="J4584" t="s">
        <v>187</v>
      </c>
      <c r="K4584" t="s">
        <v>1809</v>
      </c>
      <c r="L4584" t="str">
        <f>HYPERLINK("https://business-monitor.ch/de/companies/331838-flora-vermarktungs-und-immo-ag?utm_source=oberaargau","PROFIL ANSEHEN")</f>
        <v>PROFIL ANSEHEN</v>
      </c>
    </row>
    <row r="4585" spans="1:12" x14ac:dyDescent="0.2">
      <c r="A4585" t="s">
        <v>13019</v>
      </c>
      <c r="B4585" t="s">
        <v>13020</v>
      </c>
      <c r="C4585" t="s">
        <v>1812</v>
      </c>
      <c r="E4585" t="s">
        <v>11810</v>
      </c>
      <c r="F4585">
        <v>4537</v>
      </c>
      <c r="G4585" t="s">
        <v>113</v>
      </c>
      <c r="H4585" t="s">
        <v>16</v>
      </c>
      <c r="I4585" t="s">
        <v>2825</v>
      </c>
      <c r="J4585" t="s">
        <v>2826</v>
      </c>
      <c r="K4585" t="s">
        <v>1809</v>
      </c>
      <c r="L4585" t="str">
        <f>HYPERLINK("https://business-monitor.ch/de/companies/702594-typgenau-kommunikation-vanessa-wieland?utm_source=oberaargau","PROFIL ANSEHEN")</f>
        <v>PROFIL ANSEHEN</v>
      </c>
    </row>
    <row r="4586" spans="1:12" x14ac:dyDescent="0.2">
      <c r="A4586" t="s">
        <v>11923</v>
      </c>
      <c r="B4586" t="s">
        <v>11924</v>
      </c>
      <c r="C4586" t="s">
        <v>1812</v>
      </c>
      <c r="E4586" t="s">
        <v>11925</v>
      </c>
      <c r="F4586">
        <v>4900</v>
      </c>
      <c r="G4586" t="s">
        <v>41</v>
      </c>
      <c r="H4586" t="s">
        <v>16</v>
      </c>
      <c r="I4586" t="s">
        <v>642</v>
      </c>
      <c r="J4586" t="s">
        <v>643</v>
      </c>
      <c r="K4586" t="s">
        <v>1809</v>
      </c>
      <c r="L4586" t="str">
        <f>HYPERLINK("https://business-monitor.ch/de/companies/1169314-ldcg-by-barrero?utm_source=oberaargau","PROFIL ANSEHEN")</f>
        <v>PROFIL ANSEHEN</v>
      </c>
    </row>
    <row r="4587" spans="1:12" x14ac:dyDescent="0.2">
      <c r="A4587" t="s">
        <v>11766</v>
      </c>
      <c r="B4587" t="s">
        <v>11767</v>
      </c>
      <c r="C4587" t="s">
        <v>1812</v>
      </c>
      <c r="D4587" t="s">
        <v>13023</v>
      </c>
      <c r="E4587" t="s">
        <v>13024</v>
      </c>
      <c r="F4587">
        <v>3377</v>
      </c>
      <c r="G4587" t="s">
        <v>1307</v>
      </c>
      <c r="H4587" t="s">
        <v>16</v>
      </c>
      <c r="I4587" t="s">
        <v>48</v>
      </c>
      <c r="J4587" t="s">
        <v>49</v>
      </c>
      <c r="K4587" t="s">
        <v>1809</v>
      </c>
      <c r="L4587" t="str">
        <f>HYPERLINK("https://business-monitor.ch/de/companies/1160355-anlagenbau-freiburghaus?utm_source=oberaargau","PROFIL ANSEHEN")</f>
        <v>PROFIL ANSEHEN</v>
      </c>
    </row>
    <row r="4588" spans="1:12" x14ac:dyDescent="0.2">
      <c r="A4588" t="s">
        <v>6828</v>
      </c>
      <c r="B4588" t="s">
        <v>6829</v>
      </c>
      <c r="C4588" t="s">
        <v>1812</v>
      </c>
      <c r="E4588" t="s">
        <v>6830</v>
      </c>
      <c r="F4588">
        <v>4912</v>
      </c>
      <c r="G4588" t="s">
        <v>64</v>
      </c>
      <c r="H4588" t="s">
        <v>16</v>
      </c>
      <c r="I4588" t="s">
        <v>854</v>
      </c>
      <c r="J4588" t="s">
        <v>855</v>
      </c>
      <c r="K4588" t="s">
        <v>1809</v>
      </c>
      <c r="L4588" t="str">
        <f>HYPERLINK("https://business-monitor.ch/de/companies/68080-mem-tec-meyer-markus-technics?utm_source=oberaargau","PROFIL ANSEHEN")</f>
        <v>PROFIL ANSEHEN</v>
      </c>
    </row>
    <row r="4589" spans="1:12" x14ac:dyDescent="0.2">
      <c r="A4589" t="s">
        <v>3283</v>
      </c>
      <c r="B4589" t="s">
        <v>3284</v>
      </c>
      <c r="C4589" t="s">
        <v>13</v>
      </c>
      <c r="E4589" t="s">
        <v>3285</v>
      </c>
      <c r="F4589">
        <v>3360</v>
      </c>
      <c r="G4589" t="s">
        <v>35</v>
      </c>
      <c r="H4589" t="s">
        <v>16</v>
      </c>
      <c r="I4589" t="s">
        <v>3253</v>
      </c>
      <c r="J4589" t="s">
        <v>3254</v>
      </c>
      <c r="K4589" t="s">
        <v>1809</v>
      </c>
      <c r="L4589" t="str">
        <f>HYPERLINK("https://business-monitor.ch/de/companies/246709-marti-metzgerei-ag?utm_source=oberaargau","PROFIL ANSEHEN")</f>
        <v>PROFIL ANSEHEN</v>
      </c>
    </row>
    <row r="4590" spans="1:12" x14ac:dyDescent="0.2">
      <c r="A4590" t="s">
        <v>4478</v>
      </c>
      <c r="B4590" t="s">
        <v>4479</v>
      </c>
      <c r="C4590" t="s">
        <v>202</v>
      </c>
      <c r="E4590" t="s">
        <v>4480</v>
      </c>
      <c r="F4590">
        <v>4539</v>
      </c>
      <c r="G4590" t="s">
        <v>1134</v>
      </c>
      <c r="H4590" t="s">
        <v>16</v>
      </c>
      <c r="I4590" t="s">
        <v>551</v>
      </c>
      <c r="J4590" t="s">
        <v>552</v>
      </c>
      <c r="K4590" t="s">
        <v>1809</v>
      </c>
      <c r="L4590" t="str">
        <f>HYPERLINK("https://business-monitor.ch/de/companies/716839-bgmh-consulting-gmbh?utm_source=oberaargau","PROFIL ANSEHEN")</f>
        <v>PROFIL ANSEHEN</v>
      </c>
    </row>
    <row r="4591" spans="1:12" x14ac:dyDescent="0.2">
      <c r="A4591" t="s">
        <v>7509</v>
      </c>
      <c r="B4591" t="s">
        <v>7510</v>
      </c>
      <c r="C4591" t="s">
        <v>1812</v>
      </c>
      <c r="E4591" t="s">
        <v>7511</v>
      </c>
      <c r="F4591">
        <v>3365</v>
      </c>
      <c r="G4591" t="s">
        <v>2390</v>
      </c>
      <c r="H4591" t="s">
        <v>16</v>
      </c>
      <c r="I4591" t="s">
        <v>1401</v>
      </c>
      <c r="J4591" t="s">
        <v>1402</v>
      </c>
      <c r="K4591" t="s">
        <v>1809</v>
      </c>
      <c r="L4591" t="str">
        <f>HYPERLINK("https://business-monitor.ch/de/companies/717158-erdreich-boutique-und-floristik-nadine-esposito?utm_source=oberaargau","PROFIL ANSEHEN")</f>
        <v>PROFIL ANSEHEN</v>
      </c>
    </row>
    <row r="4592" spans="1:12" x14ac:dyDescent="0.2">
      <c r="A4592" t="s">
        <v>7018</v>
      </c>
      <c r="B4592" t="s">
        <v>7019</v>
      </c>
      <c r="C4592" t="s">
        <v>202</v>
      </c>
      <c r="E4592" t="s">
        <v>7020</v>
      </c>
      <c r="F4592">
        <v>3367</v>
      </c>
      <c r="G4592" t="s">
        <v>455</v>
      </c>
      <c r="H4592" t="s">
        <v>16</v>
      </c>
      <c r="I4592" t="s">
        <v>86</v>
      </c>
      <c r="J4592" t="s">
        <v>87</v>
      </c>
      <c r="K4592" t="s">
        <v>1809</v>
      </c>
      <c r="L4592" t="str">
        <f>HYPERLINK("https://business-monitor.ch/de/companies/588432-animal-vital-gmbh?utm_source=oberaargau","PROFIL ANSEHEN")</f>
        <v>PROFIL ANSEHEN</v>
      </c>
    </row>
    <row r="4593" spans="1:12" x14ac:dyDescent="0.2">
      <c r="A4593" t="s">
        <v>8538</v>
      </c>
      <c r="B4593" t="s">
        <v>8539</v>
      </c>
      <c r="C4593" t="s">
        <v>2178</v>
      </c>
      <c r="E4593" t="s">
        <v>8540</v>
      </c>
      <c r="F4593">
        <v>4536</v>
      </c>
      <c r="G4593" t="s">
        <v>1395</v>
      </c>
      <c r="H4593" t="s">
        <v>16</v>
      </c>
      <c r="I4593" t="s">
        <v>1562</v>
      </c>
      <c r="J4593" t="s">
        <v>1563</v>
      </c>
      <c r="K4593" t="s">
        <v>1809</v>
      </c>
      <c r="L4593" t="str">
        <f>HYPERLINK("https://business-monitor.ch/de/companies/498577-hofstetter-ag-flumenthal?utm_source=oberaargau","PROFIL ANSEHEN")</f>
        <v>PROFIL ANSEHEN</v>
      </c>
    </row>
    <row r="4594" spans="1:12" x14ac:dyDescent="0.2">
      <c r="A4594" t="s">
        <v>11907</v>
      </c>
      <c r="B4594" t="s">
        <v>11908</v>
      </c>
      <c r="C4594" t="s">
        <v>202</v>
      </c>
      <c r="E4594" t="s">
        <v>11909</v>
      </c>
      <c r="F4594">
        <v>3360</v>
      </c>
      <c r="G4594" t="s">
        <v>35</v>
      </c>
      <c r="H4594" t="s">
        <v>16</v>
      </c>
      <c r="I4594" t="s">
        <v>260</v>
      </c>
      <c r="J4594" t="s">
        <v>261</v>
      </c>
      <c r="K4594" t="s">
        <v>1809</v>
      </c>
      <c r="L4594" t="str">
        <f>HYPERLINK("https://business-monitor.ch/de/companies/1170190-naad-architektur-gmbh?utm_source=oberaargau","PROFIL ANSEHEN")</f>
        <v>PROFIL ANSEHEN</v>
      </c>
    </row>
    <row r="4595" spans="1:12" x14ac:dyDescent="0.2">
      <c r="A4595" t="s">
        <v>6181</v>
      </c>
      <c r="B4595" t="s">
        <v>6701</v>
      </c>
      <c r="C4595" t="s">
        <v>13</v>
      </c>
      <c r="E4595" t="s">
        <v>6702</v>
      </c>
      <c r="F4595">
        <v>4900</v>
      </c>
      <c r="G4595" t="s">
        <v>41</v>
      </c>
      <c r="H4595" t="s">
        <v>16</v>
      </c>
      <c r="I4595" t="s">
        <v>854</v>
      </c>
      <c r="J4595" t="s">
        <v>855</v>
      </c>
      <c r="K4595" t="s">
        <v>1809</v>
      </c>
      <c r="L4595" t="str">
        <f>HYPERLINK("https://business-monitor.ch/de/companies/151690-ebus-ag?utm_source=oberaargau","PROFIL ANSEHEN")</f>
        <v>PROFIL ANSEHEN</v>
      </c>
    </row>
    <row r="4596" spans="1:12" x14ac:dyDescent="0.2">
      <c r="A4596" t="s">
        <v>10250</v>
      </c>
      <c r="B4596" t="s">
        <v>10251</v>
      </c>
      <c r="C4596" t="s">
        <v>13</v>
      </c>
      <c r="E4596" t="s">
        <v>3978</v>
      </c>
      <c r="F4596">
        <v>4536</v>
      </c>
      <c r="G4596" t="s">
        <v>1395</v>
      </c>
      <c r="H4596" t="s">
        <v>16</v>
      </c>
      <c r="I4596" t="s">
        <v>2954</v>
      </c>
      <c r="J4596" t="s">
        <v>2955</v>
      </c>
      <c r="K4596" t="s">
        <v>1809</v>
      </c>
      <c r="L4596" t="str">
        <f>HYPERLINK("https://business-monitor.ch/de/companies/594713-peter-leuenberger-ag?utm_source=oberaargau","PROFIL ANSEHEN")</f>
        <v>PROFIL ANSEHEN</v>
      </c>
    </row>
    <row r="4597" spans="1:12" x14ac:dyDescent="0.2">
      <c r="A4597" t="s">
        <v>13361</v>
      </c>
      <c r="B4597" t="s">
        <v>13362</v>
      </c>
      <c r="C4597" t="s">
        <v>202</v>
      </c>
      <c r="D4597" t="s">
        <v>13363</v>
      </c>
      <c r="E4597" t="s">
        <v>3701</v>
      </c>
      <c r="F4597">
        <v>3365</v>
      </c>
      <c r="G4597" t="s">
        <v>2390</v>
      </c>
      <c r="H4597" t="s">
        <v>16</v>
      </c>
      <c r="I4597" t="s">
        <v>2226</v>
      </c>
      <c r="J4597" t="s">
        <v>2227</v>
      </c>
      <c r="K4597" t="s">
        <v>1809</v>
      </c>
      <c r="L4597" t="str">
        <f>HYPERLINK("https://business-monitor.ch/de/companies/1251604-physiotherapie-hand-in-hand-gmbh?utm_source=oberaargau","PROFIL ANSEHEN")</f>
        <v>PROFIL ANSEHEN</v>
      </c>
    </row>
    <row r="4598" spans="1:12" x14ac:dyDescent="0.2">
      <c r="A4598" t="s">
        <v>2360</v>
      </c>
      <c r="B4598" t="s">
        <v>2361</v>
      </c>
      <c r="C4598" t="s">
        <v>13</v>
      </c>
      <c r="E4598" t="s">
        <v>1426</v>
      </c>
      <c r="F4598">
        <v>4912</v>
      </c>
      <c r="G4598" t="s">
        <v>64</v>
      </c>
      <c r="H4598" t="s">
        <v>16</v>
      </c>
      <c r="I4598" t="s">
        <v>935</v>
      </c>
      <c r="J4598" t="s">
        <v>936</v>
      </c>
      <c r="K4598" t="s">
        <v>1809</v>
      </c>
      <c r="L4598" t="str">
        <f>HYPERLINK("https://business-monitor.ch/de/companies/152976-tisra-ag?utm_source=oberaargau","PROFIL ANSEHEN")</f>
        <v>PROFIL ANSEHEN</v>
      </c>
    </row>
    <row r="4599" spans="1:12" x14ac:dyDescent="0.2">
      <c r="A4599" t="s">
        <v>9659</v>
      </c>
      <c r="B4599" t="s">
        <v>9660</v>
      </c>
      <c r="C4599" t="s">
        <v>13</v>
      </c>
      <c r="E4599" t="s">
        <v>8566</v>
      </c>
      <c r="F4599">
        <v>4538</v>
      </c>
      <c r="G4599" t="s">
        <v>71</v>
      </c>
      <c r="H4599" t="s">
        <v>16</v>
      </c>
      <c r="I4599" t="s">
        <v>764</v>
      </c>
      <c r="J4599" t="s">
        <v>765</v>
      </c>
      <c r="K4599" t="s">
        <v>1809</v>
      </c>
      <c r="L4599" t="str">
        <f>HYPERLINK("https://business-monitor.ch/de/companies/659827-gamartec-ag?utm_source=oberaargau","PROFIL ANSEHEN")</f>
        <v>PROFIL ANSEHEN</v>
      </c>
    </row>
    <row r="4600" spans="1:12" x14ac:dyDescent="0.2">
      <c r="A4600" t="s">
        <v>10673</v>
      </c>
      <c r="B4600" t="s">
        <v>10674</v>
      </c>
      <c r="C4600" t="s">
        <v>1812</v>
      </c>
      <c r="E4600" t="s">
        <v>10675</v>
      </c>
      <c r="F4600">
        <v>4917</v>
      </c>
      <c r="G4600" t="s">
        <v>376</v>
      </c>
      <c r="H4600" t="s">
        <v>16</v>
      </c>
      <c r="I4600" t="s">
        <v>3493</v>
      </c>
      <c r="J4600" t="s">
        <v>3494</v>
      </c>
      <c r="K4600" t="s">
        <v>1809</v>
      </c>
      <c r="L4600" t="str">
        <f>HYPERLINK("https://business-monitor.ch/de/companies/1063762-ihr-partner-fuer-finanzdienstleistungen-bekteshi-faton?utm_source=oberaargau","PROFIL ANSEHEN")</f>
        <v>PROFIL ANSEHEN</v>
      </c>
    </row>
    <row r="4601" spans="1:12" x14ac:dyDescent="0.2">
      <c r="A4601" t="s">
        <v>12899</v>
      </c>
      <c r="B4601" t="s">
        <v>12900</v>
      </c>
      <c r="C4601" t="s">
        <v>202</v>
      </c>
      <c r="E4601" t="s">
        <v>678</v>
      </c>
      <c r="F4601">
        <v>3360</v>
      </c>
      <c r="G4601" t="s">
        <v>35</v>
      </c>
      <c r="H4601" t="s">
        <v>16</v>
      </c>
      <c r="I4601" t="s">
        <v>182</v>
      </c>
      <c r="J4601" t="s">
        <v>183</v>
      </c>
      <c r="K4601" t="s">
        <v>1809</v>
      </c>
      <c r="L4601" t="str">
        <f>HYPERLINK("https://business-monitor.ch/de/companies/1217641-mathys-holding-gmbh?utm_source=oberaargau","PROFIL ANSEHEN")</f>
        <v>PROFIL ANSEHEN</v>
      </c>
    </row>
    <row r="4602" spans="1:12" x14ac:dyDescent="0.2">
      <c r="A4602" t="s">
        <v>10011</v>
      </c>
      <c r="B4602" t="s">
        <v>10012</v>
      </c>
      <c r="C4602" t="s">
        <v>13</v>
      </c>
      <c r="E4602" t="s">
        <v>8297</v>
      </c>
      <c r="F4602">
        <v>4704</v>
      </c>
      <c r="G4602" t="s">
        <v>221</v>
      </c>
      <c r="H4602" t="s">
        <v>16</v>
      </c>
      <c r="I4602" t="s">
        <v>935</v>
      </c>
      <c r="J4602" t="s">
        <v>936</v>
      </c>
      <c r="K4602" t="s">
        <v>1809</v>
      </c>
      <c r="L4602" t="str">
        <f>HYPERLINK("https://business-monitor.ch/de/companies/719790-emmenimmo-ag-niederbipp?utm_source=oberaargau","PROFIL ANSEHEN")</f>
        <v>PROFIL ANSEHEN</v>
      </c>
    </row>
    <row r="4603" spans="1:12" x14ac:dyDescent="0.2">
      <c r="A4603" t="s">
        <v>13322</v>
      </c>
      <c r="B4603" t="s">
        <v>13323</v>
      </c>
      <c r="C4603" t="s">
        <v>202</v>
      </c>
      <c r="E4603" t="s">
        <v>13324</v>
      </c>
      <c r="F4603">
        <v>4950</v>
      </c>
      <c r="G4603" t="s">
        <v>15</v>
      </c>
      <c r="H4603" t="s">
        <v>16</v>
      </c>
      <c r="I4603" t="s">
        <v>6274</v>
      </c>
      <c r="J4603" t="s">
        <v>6275</v>
      </c>
      <c r="K4603" t="s">
        <v>1809</v>
      </c>
      <c r="L4603" t="str">
        <f>HYPERLINK("https://business-monitor.ch/de/companies/1251430-vdbh-huttwil-gmbh?utm_source=oberaargau","PROFIL ANSEHEN")</f>
        <v>PROFIL ANSEHEN</v>
      </c>
    </row>
    <row r="4604" spans="1:12" x14ac:dyDescent="0.2">
      <c r="A4604" t="s">
        <v>5236</v>
      </c>
      <c r="B4604" t="s">
        <v>5237</v>
      </c>
      <c r="C4604" t="s">
        <v>1812</v>
      </c>
      <c r="E4604" t="s">
        <v>5238</v>
      </c>
      <c r="F4604">
        <v>4914</v>
      </c>
      <c r="G4604" t="s">
        <v>105</v>
      </c>
      <c r="H4604" t="s">
        <v>16</v>
      </c>
      <c r="I4604" t="s">
        <v>157</v>
      </c>
      <c r="J4604" t="s">
        <v>158</v>
      </c>
      <c r="K4604" t="s">
        <v>1809</v>
      </c>
      <c r="L4604" t="str">
        <f>HYPERLINK("https://business-monitor.ch/de/companies/362817-ms-immobilien-maja-scheidegger?utm_source=oberaargau","PROFIL ANSEHEN")</f>
        <v>PROFIL ANSEHEN</v>
      </c>
    </row>
    <row r="4605" spans="1:12" x14ac:dyDescent="0.2">
      <c r="A4605" t="s">
        <v>11867</v>
      </c>
      <c r="B4605" t="s">
        <v>11868</v>
      </c>
      <c r="C4605" t="s">
        <v>202</v>
      </c>
      <c r="E4605" t="s">
        <v>11869</v>
      </c>
      <c r="F4605">
        <v>3380</v>
      </c>
      <c r="G4605" t="s">
        <v>29</v>
      </c>
      <c r="H4605" t="s">
        <v>16</v>
      </c>
      <c r="I4605" t="s">
        <v>1039</v>
      </c>
      <c r="J4605" t="s">
        <v>1040</v>
      </c>
      <c r="K4605" t="s">
        <v>1809</v>
      </c>
      <c r="L4605" t="str">
        <f>HYPERLINK("https://business-monitor.ch/de/companies/1172313-rothwald-group-gmbh?utm_source=oberaargau","PROFIL ANSEHEN")</f>
        <v>PROFIL ANSEHEN</v>
      </c>
    </row>
    <row r="4606" spans="1:12" x14ac:dyDescent="0.2">
      <c r="A4606" t="s">
        <v>4395</v>
      </c>
      <c r="B4606" t="s">
        <v>4396</v>
      </c>
      <c r="C4606" t="s">
        <v>202</v>
      </c>
      <c r="E4606" t="s">
        <v>4397</v>
      </c>
      <c r="F4606">
        <v>3367</v>
      </c>
      <c r="G4606" t="s">
        <v>455</v>
      </c>
      <c r="H4606" t="s">
        <v>16</v>
      </c>
      <c r="I4606" t="s">
        <v>464</v>
      </c>
      <c r="J4606" t="s">
        <v>465</v>
      </c>
      <c r="K4606" t="s">
        <v>1809</v>
      </c>
      <c r="L4606" t="str">
        <f>HYPERLINK("https://business-monitor.ch/de/companies/943670-aujla-gmbh?utm_source=oberaargau","PROFIL ANSEHEN")</f>
        <v>PROFIL ANSEHEN</v>
      </c>
    </row>
    <row r="4607" spans="1:12" x14ac:dyDescent="0.2">
      <c r="A4607" t="s">
        <v>13327</v>
      </c>
      <c r="B4607" t="s">
        <v>13328</v>
      </c>
      <c r="C4607" t="s">
        <v>202</v>
      </c>
      <c r="E4607" t="s">
        <v>13329</v>
      </c>
      <c r="F4607">
        <v>4537</v>
      </c>
      <c r="G4607" t="s">
        <v>113</v>
      </c>
      <c r="H4607" t="s">
        <v>16</v>
      </c>
      <c r="I4607" t="s">
        <v>157</v>
      </c>
      <c r="J4607" t="s">
        <v>158</v>
      </c>
      <c r="K4607" t="s">
        <v>1809</v>
      </c>
      <c r="L4607" t="str">
        <f>HYPERLINK("https://business-monitor.ch/de/companies/1251686-hiveinvest-gmbh?utm_source=oberaargau","PROFIL ANSEHEN")</f>
        <v>PROFIL ANSEHEN</v>
      </c>
    </row>
    <row r="4608" spans="1:12" x14ac:dyDescent="0.2">
      <c r="A4608" t="s">
        <v>13451</v>
      </c>
      <c r="B4608" t="s">
        <v>13452</v>
      </c>
      <c r="C4608" t="s">
        <v>202</v>
      </c>
      <c r="E4608" t="s">
        <v>2862</v>
      </c>
      <c r="F4608">
        <v>4900</v>
      </c>
      <c r="G4608" t="s">
        <v>41</v>
      </c>
      <c r="H4608" t="s">
        <v>16</v>
      </c>
      <c r="I4608" t="s">
        <v>260</v>
      </c>
      <c r="J4608" t="s">
        <v>261</v>
      </c>
      <c r="K4608" t="s">
        <v>1809</v>
      </c>
      <c r="L4608" t="str">
        <f>HYPERLINK("https://business-monitor.ch/de/companies/1251726-lls-real-estate-gmbh?utm_source=oberaargau","PROFIL ANSEHEN")</f>
        <v>PROFIL ANSEHEN</v>
      </c>
    </row>
    <row r="4609" spans="1:12" x14ac:dyDescent="0.2">
      <c r="A4609" t="s">
        <v>10933</v>
      </c>
      <c r="B4609" t="s">
        <v>10934</v>
      </c>
      <c r="C4609" t="s">
        <v>13</v>
      </c>
      <c r="E4609" t="s">
        <v>3260</v>
      </c>
      <c r="F4609">
        <v>4900</v>
      </c>
      <c r="G4609" t="s">
        <v>41</v>
      </c>
      <c r="H4609" t="s">
        <v>16</v>
      </c>
      <c r="I4609" t="s">
        <v>671</v>
      </c>
      <c r="J4609" t="s">
        <v>672</v>
      </c>
      <c r="K4609" t="s">
        <v>1809</v>
      </c>
      <c r="L4609" t="str">
        <f>HYPERLINK("https://business-monitor.ch/de/companies/1104666-aerzte-gesundheitszentren-oberaargau-ag?utm_source=oberaargau","PROFIL ANSEHEN")</f>
        <v>PROFIL ANSEHEN</v>
      </c>
    </row>
    <row r="4610" spans="1:12" x14ac:dyDescent="0.2">
      <c r="A4610" t="s">
        <v>8737</v>
      </c>
      <c r="B4610" t="s">
        <v>8738</v>
      </c>
      <c r="C4610" t="s">
        <v>202</v>
      </c>
      <c r="E4610" t="s">
        <v>569</v>
      </c>
      <c r="F4610">
        <v>3360</v>
      </c>
      <c r="G4610" t="s">
        <v>35</v>
      </c>
      <c r="H4610" t="s">
        <v>16</v>
      </c>
      <c r="I4610" t="s">
        <v>542</v>
      </c>
      <c r="J4610" t="s">
        <v>543</v>
      </c>
      <c r="K4610" t="s">
        <v>1809</v>
      </c>
      <c r="L4610" t="str">
        <f>HYPERLINK("https://business-monitor.ch/de/companies/973153-nb-technologie-gmbh?utm_source=oberaargau","PROFIL ANSEHEN")</f>
        <v>PROFIL ANSEHEN</v>
      </c>
    </row>
    <row r="4611" spans="1:12" x14ac:dyDescent="0.2">
      <c r="A4611" t="s">
        <v>9836</v>
      </c>
      <c r="B4611" t="s">
        <v>9837</v>
      </c>
      <c r="C4611" t="s">
        <v>13</v>
      </c>
      <c r="E4611" t="s">
        <v>3263</v>
      </c>
      <c r="F4611">
        <v>3360</v>
      </c>
      <c r="G4611" t="s">
        <v>35</v>
      </c>
      <c r="H4611" t="s">
        <v>16</v>
      </c>
      <c r="I4611" t="s">
        <v>570</v>
      </c>
      <c r="J4611" t="s">
        <v>571</v>
      </c>
      <c r="K4611" t="s">
        <v>1809</v>
      </c>
      <c r="L4611" t="str">
        <f>HYPERLINK("https://business-monitor.ch/de/companies/991947-thaeler-heizungstechnik-ag?utm_source=oberaargau","PROFIL ANSEHEN")</f>
        <v>PROFIL ANSEHEN</v>
      </c>
    </row>
    <row r="4612" spans="1:12" x14ac:dyDescent="0.2">
      <c r="A4612" t="s">
        <v>4239</v>
      </c>
      <c r="B4612" t="s">
        <v>4240</v>
      </c>
      <c r="C4612" t="s">
        <v>13</v>
      </c>
      <c r="E4612" t="s">
        <v>4241</v>
      </c>
      <c r="F4612">
        <v>4900</v>
      </c>
      <c r="G4612" t="s">
        <v>41</v>
      </c>
      <c r="H4612" t="s">
        <v>16</v>
      </c>
      <c r="I4612" t="s">
        <v>157</v>
      </c>
      <c r="J4612" t="s">
        <v>158</v>
      </c>
      <c r="K4612" t="s">
        <v>1809</v>
      </c>
      <c r="L4612" t="str">
        <f>HYPERLINK("https://business-monitor.ch/de/companies/992155-stettler-immobilien-ag?utm_source=oberaargau","PROFIL ANSEHEN")</f>
        <v>PROFIL ANSEHEN</v>
      </c>
    </row>
    <row r="4613" spans="1:12" x14ac:dyDescent="0.2">
      <c r="A4613" t="s">
        <v>7319</v>
      </c>
      <c r="B4613" t="s">
        <v>7320</v>
      </c>
      <c r="C4613" t="s">
        <v>1922</v>
      </c>
      <c r="E4613" t="s">
        <v>7321</v>
      </c>
      <c r="F4613">
        <v>4900</v>
      </c>
      <c r="G4613" t="s">
        <v>41</v>
      </c>
      <c r="H4613" t="s">
        <v>16</v>
      </c>
      <c r="I4613" t="s">
        <v>2912</v>
      </c>
      <c r="J4613" t="s">
        <v>2913</v>
      </c>
      <c r="K4613" t="s">
        <v>1809</v>
      </c>
      <c r="L4613" t="str">
        <f>HYPERLINK("https://business-monitor.ch/de/companies/1002061-stiftung-inkiino?utm_source=oberaargau","PROFIL ANSEHEN")</f>
        <v>PROFIL ANSEHEN</v>
      </c>
    </row>
    <row r="4614" spans="1:12" x14ac:dyDescent="0.2">
      <c r="A4614" t="s">
        <v>10881</v>
      </c>
      <c r="B4614" t="s">
        <v>10882</v>
      </c>
      <c r="C4614" t="s">
        <v>202</v>
      </c>
      <c r="E4614" t="s">
        <v>3037</v>
      </c>
      <c r="F4614">
        <v>4900</v>
      </c>
      <c r="G4614" t="s">
        <v>41</v>
      </c>
      <c r="H4614" t="s">
        <v>16</v>
      </c>
      <c r="I4614" t="s">
        <v>824</v>
      </c>
      <c r="J4614" t="s">
        <v>825</v>
      </c>
      <c r="K4614" t="s">
        <v>1809</v>
      </c>
      <c r="L4614" t="str">
        <f>HYPERLINK("https://business-monitor.ch/de/companies/1105482-aliece-gmbh?utm_source=oberaargau","PROFIL ANSEHEN")</f>
        <v>PROFIL ANSEHEN</v>
      </c>
    </row>
    <row r="4615" spans="1:12" x14ac:dyDescent="0.2">
      <c r="A4615" t="s">
        <v>10927</v>
      </c>
      <c r="B4615" t="s">
        <v>10928</v>
      </c>
      <c r="C4615" t="s">
        <v>202</v>
      </c>
      <c r="E4615" t="s">
        <v>3634</v>
      </c>
      <c r="F4615">
        <v>4704</v>
      </c>
      <c r="G4615" t="s">
        <v>221</v>
      </c>
      <c r="H4615" t="s">
        <v>16</v>
      </c>
      <c r="I4615" t="s">
        <v>642</v>
      </c>
      <c r="J4615" t="s">
        <v>643</v>
      </c>
      <c r="K4615" t="s">
        <v>1809</v>
      </c>
      <c r="L4615" t="str">
        <f>HYPERLINK("https://business-monitor.ch/de/companies/1106289-christoph-frei-gmbh?utm_source=oberaargau","PROFIL ANSEHEN")</f>
        <v>PROFIL ANSEHEN</v>
      </c>
    </row>
    <row r="4616" spans="1:12" x14ac:dyDescent="0.2">
      <c r="A4616" t="s">
        <v>10656</v>
      </c>
      <c r="B4616" t="s">
        <v>10657</v>
      </c>
      <c r="C4616" t="s">
        <v>1812</v>
      </c>
      <c r="E4616" t="s">
        <v>10658</v>
      </c>
      <c r="F4616">
        <v>4923</v>
      </c>
      <c r="G4616" t="s">
        <v>732</v>
      </c>
      <c r="H4616" t="s">
        <v>16</v>
      </c>
      <c r="I4616" t="s">
        <v>624</v>
      </c>
      <c r="J4616" t="s">
        <v>625</v>
      </c>
      <c r="K4616" t="s">
        <v>1809</v>
      </c>
      <c r="L4616" t="str">
        <f>HYPERLINK("https://business-monitor.ch/de/companies/1073800-kessler-montage?utm_source=oberaargau","PROFIL ANSEHEN")</f>
        <v>PROFIL ANSEHEN</v>
      </c>
    </row>
    <row r="4617" spans="1:12" x14ac:dyDescent="0.2">
      <c r="A4617" t="s">
        <v>10904</v>
      </c>
      <c r="B4617" t="s">
        <v>10905</v>
      </c>
      <c r="C4617" t="s">
        <v>1812</v>
      </c>
      <c r="E4617" t="s">
        <v>2169</v>
      </c>
      <c r="F4617">
        <v>4900</v>
      </c>
      <c r="G4617" t="s">
        <v>41</v>
      </c>
      <c r="H4617" t="s">
        <v>16</v>
      </c>
      <c r="I4617" t="s">
        <v>1860</v>
      </c>
      <c r="J4617" t="s">
        <v>1861</v>
      </c>
      <c r="K4617" t="s">
        <v>1809</v>
      </c>
      <c r="L4617" t="str">
        <f>HYPERLINK("https://business-monitor.ch/de/companies/1105627-coiffeur-profi-abdullah?utm_source=oberaargau","PROFIL ANSEHEN")</f>
        <v>PROFIL ANSEHEN</v>
      </c>
    </row>
    <row r="4618" spans="1:12" x14ac:dyDescent="0.2">
      <c r="A4618" t="s">
        <v>10901</v>
      </c>
      <c r="B4618" t="s">
        <v>10902</v>
      </c>
      <c r="C4618" t="s">
        <v>13</v>
      </c>
      <c r="E4618" t="s">
        <v>518</v>
      </c>
      <c r="F4618">
        <v>3360</v>
      </c>
      <c r="G4618" t="s">
        <v>35</v>
      </c>
      <c r="H4618" t="s">
        <v>16</v>
      </c>
      <c r="I4618" t="s">
        <v>182</v>
      </c>
      <c r="J4618" t="s">
        <v>183</v>
      </c>
      <c r="K4618" t="s">
        <v>1809</v>
      </c>
      <c r="L4618" t="str">
        <f>HYPERLINK("https://business-monitor.ch/de/companies/1105636-slm-holding-ag?utm_source=oberaargau","PROFIL ANSEHEN")</f>
        <v>PROFIL ANSEHEN</v>
      </c>
    </row>
    <row r="4619" spans="1:12" x14ac:dyDescent="0.2">
      <c r="A4619" t="s">
        <v>12658</v>
      </c>
      <c r="B4619" t="s">
        <v>12659</v>
      </c>
      <c r="C4619" t="s">
        <v>202</v>
      </c>
      <c r="E4619" t="s">
        <v>1146</v>
      </c>
      <c r="F4619">
        <v>3360</v>
      </c>
      <c r="G4619" t="s">
        <v>35</v>
      </c>
      <c r="H4619" t="s">
        <v>16</v>
      </c>
      <c r="I4619" t="s">
        <v>281</v>
      </c>
      <c r="J4619" t="s">
        <v>282</v>
      </c>
      <c r="K4619" t="s">
        <v>1809</v>
      </c>
      <c r="L4619" t="str">
        <f>HYPERLINK("https://business-monitor.ch/de/companies/1095644-daroth-gmbh?utm_source=oberaargau","PROFIL ANSEHEN")</f>
        <v>PROFIL ANSEHEN</v>
      </c>
    </row>
    <row r="4620" spans="1:12" x14ac:dyDescent="0.2">
      <c r="A4620" t="s">
        <v>10923</v>
      </c>
      <c r="B4620" t="s">
        <v>10924</v>
      </c>
      <c r="C4620" t="s">
        <v>13</v>
      </c>
      <c r="D4620" t="s">
        <v>10925</v>
      </c>
      <c r="E4620" t="s">
        <v>10926</v>
      </c>
      <c r="F4620">
        <v>4900</v>
      </c>
      <c r="G4620" t="s">
        <v>41</v>
      </c>
      <c r="H4620" t="s">
        <v>16</v>
      </c>
      <c r="I4620" t="s">
        <v>182</v>
      </c>
      <c r="J4620" t="s">
        <v>183</v>
      </c>
      <c r="K4620" t="s">
        <v>1809</v>
      </c>
      <c r="L4620" t="str">
        <f>HYPERLINK("https://business-monitor.ch/de/companies/1105899-tse-holding-ag?utm_source=oberaargau","PROFIL ANSEHEN")</f>
        <v>PROFIL ANSEHEN</v>
      </c>
    </row>
    <row r="4621" spans="1:12" x14ac:dyDescent="0.2">
      <c r="A4621" t="s">
        <v>8756</v>
      </c>
      <c r="B4621" t="s">
        <v>8757</v>
      </c>
      <c r="C4621" t="s">
        <v>202</v>
      </c>
      <c r="E4621" t="s">
        <v>8758</v>
      </c>
      <c r="F4621">
        <v>3367</v>
      </c>
      <c r="G4621" t="s">
        <v>455</v>
      </c>
      <c r="H4621" t="s">
        <v>16</v>
      </c>
      <c r="I4621" t="s">
        <v>1993</v>
      </c>
      <c r="J4621" t="s">
        <v>1994</v>
      </c>
      <c r="K4621" t="s">
        <v>1809</v>
      </c>
      <c r="L4621" t="str">
        <f>HYPERLINK("https://business-monitor.ch/de/companies/370134-asentis-gmbh?utm_source=oberaargau","PROFIL ANSEHEN")</f>
        <v>PROFIL ANSEHEN</v>
      </c>
    </row>
    <row r="4622" spans="1:12" x14ac:dyDescent="0.2">
      <c r="A4622" t="s">
        <v>11860</v>
      </c>
      <c r="B4622" t="s">
        <v>11861</v>
      </c>
      <c r="C4622" t="s">
        <v>2010</v>
      </c>
      <c r="E4622" t="s">
        <v>11862</v>
      </c>
      <c r="F4622">
        <v>4900</v>
      </c>
      <c r="G4622" t="s">
        <v>41</v>
      </c>
      <c r="H4622" t="s">
        <v>16</v>
      </c>
      <c r="I4622" t="s">
        <v>4221</v>
      </c>
      <c r="J4622" t="s">
        <v>4222</v>
      </c>
      <c r="K4622" t="s">
        <v>1809</v>
      </c>
      <c r="L4622" t="str">
        <f>HYPERLINK("https://business-monitor.ch/de/companies/1173891-daniela-kaempf-co-kmg?utm_source=oberaargau","PROFIL ANSEHEN")</f>
        <v>PROFIL ANSEHEN</v>
      </c>
    </row>
    <row r="4623" spans="1:12" x14ac:dyDescent="0.2">
      <c r="A4623" t="s">
        <v>10958</v>
      </c>
      <c r="B4623" t="s">
        <v>10959</v>
      </c>
      <c r="C4623" t="s">
        <v>202</v>
      </c>
      <c r="D4623" t="s">
        <v>13170</v>
      </c>
      <c r="E4623" t="s">
        <v>13171</v>
      </c>
      <c r="F4623">
        <v>4955</v>
      </c>
      <c r="G4623" t="s">
        <v>684</v>
      </c>
      <c r="H4623" t="s">
        <v>16</v>
      </c>
      <c r="I4623" t="s">
        <v>624</v>
      </c>
      <c r="J4623" t="s">
        <v>625</v>
      </c>
      <c r="K4623" t="s">
        <v>1809</v>
      </c>
      <c r="L4623" t="str">
        <f>HYPERLINK("https://business-monitor.ch/de/companies/1110247-rundum-holzbau-gmbh?utm_source=oberaargau","PROFIL ANSEHEN")</f>
        <v>PROFIL ANSEHEN</v>
      </c>
    </row>
    <row r="4624" spans="1:12" x14ac:dyDescent="0.2">
      <c r="A4624" t="s">
        <v>11438</v>
      </c>
      <c r="B4624" t="s">
        <v>11439</v>
      </c>
      <c r="C4624" t="s">
        <v>1812</v>
      </c>
      <c r="E4624" t="s">
        <v>12610</v>
      </c>
      <c r="F4624">
        <v>4900</v>
      </c>
      <c r="G4624" t="s">
        <v>41</v>
      </c>
      <c r="H4624" t="s">
        <v>16</v>
      </c>
      <c r="I4624" t="s">
        <v>2849</v>
      </c>
      <c r="J4624" t="s">
        <v>2850</v>
      </c>
      <c r="K4624" t="s">
        <v>1809</v>
      </c>
      <c r="L4624" t="str">
        <f>HYPERLINK("https://business-monitor.ch/de/companies/1140138-marti-care?utm_source=oberaargau","PROFIL ANSEHEN")</f>
        <v>PROFIL ANSEHEN</v>
      </c>
    </row>
    <row r="4625" spans="1:12" x14ac:dyDescent="0.2">
      <c r="A4625" t="s">
        <v>10876</v>
      </c>
      <c r="B4625" t="s">
        <v>10877</v>
      </c>
      <c r="C4625" t="s">
        <v>202</v>
      </c>
      <c r="D4625" t="s">
        <v>10878</v>
      </c>
      <c r="E4625" t="s">
        <v>716</v>
      </c>
      <c r="F4625">
        <v>4912</v>
      </c>
      <c r="G4625" t="s">
        <v>64</v>
      </c>
      <c r="H4625" t="s">
        <v>16</v>
      </c>
      <c r="I4625" t="s">
        <v>24</v>
      </c>
      <c r="J4625" t="s">
        <v>25</v>
      </c>
      <c r="K4625" t="s">
        <v>1809</v>
      </c>
      <c r="L4625" t="str">
        <f>HYPERLINK("https://business-monitor.ch/de/companies/1082382-reset-thinking-gmbh?utm_source=oberaargau","PROFIL ANSEHEN")</f>
        <v>PROFIL ANSEHEN</v>
      </c>
    </row>
    <row r="4626" spans="1:12" x14ac:dyDescent="0.2">
      <c r="A4626" t="s">
        <v>5622</v>
      </c>
      <c r="B4626" t="s">
        <v>5623</v>
      </c>
      <c r="C4626" t="s">
        <v>13</v>
      </c>
      <c r="E4626" t="s">
        <v>5624</v>
      </c>
      <c r="F4626">
        <v>4955</v>
      </c>
      <c r="G4626" t="s">
        <v>684</v>
      </c>
      <c r="H4626" t="s">
        <v>16</v>
      </c>
      <c r="I4626" t="s">
        <v>254</v>
      </c>
      <c r="J4626" t="s">
        <v>255</v>
      </c>
      <c r="K4626" t="s">
        <v>1809</v>
      </c>
      <c r="L4626" t="str">
        <f>HYPERLINK("https://business-monitor.ch/de/companies/491789-privat-kabelfernsehen-gondiswil-ag?utm_source=oberaargau","PROFIL ANSEHEN")</f>
        <v>PROFIL ANSEHEN</v>
      </c>
    </row>
    <row r="4627" spans="1:12" x14ac:dyDescent="0.2">
      <c r="A4627" t="s">
        <v>11957</v>
      </c>
      <c r="B4627" t="s">
        <v>11958</v>
      </c>
      <c r="C4627" t="s">
        <v>1812</v>
      </c>
      <c r="E4627" t="s">
        <v>11959</v>
      </c>
      <c r="F4627">
        <v>3372</v>
      </c>
      <c r="G4627" t="s">
        <v>2120</v>
      </c>
      <c r="H4627" t="s">
        <v>16</v>
      </c>
      <c r="I4627" t="s">
        <v>7350</v>
      </c>
      <c r="J4627" t="s">
        <v>7351</v>
      </c>
      <c r="K4627" t="s">
        <v>1809</v>
      </c>
      <c r="L4627" t="str">
        <f>HYPERLINK("https://business-monitor.ch/de/companies/1174711-umzug-group-haji?utm_source=oberaargau","PROFIL ANSEHEN")</f>
        <v>PROFIL ANSEHEN</v>
      </c>
    </row>
    <row r="4628" spans="1:12" x14ac:dyDescent="0.2">
      <c r="A4628" t="s">
        <v>5100</v>
      </c>
      <c r="B4628" t="s">
        <v>5101</v>
      </c>
      <c r="C4628" t="s">
        <v>1812</v>
      </c>
      <c r="E4628" t="s">
        <v>1357</v>
      </c>
      <c r="F4628">
        <v>4900</v>
      </c>
      <c r="G4628" t="s">
        <v>41</v>
      </c>
      <c r="H4628" t="s">
        <v>16</v>
      </c>
      <c r="I4628" t="s">
        <v>232</v>
      </c>
      <c r="J4628" t="s">
        <v>233</v>
      </c>
      <c r="K4628" t="s">
        <v>1809</v>
      </c>
      <c r="L4628" t="str">
        <f>HYPERLINK("https://business-monitor.ch/de/companies/633584-treuhandbuero-geissbuehler?utm_source=oberaargau","PROFIL ANSEHEN")</f>
        <v>PROFIL ANSEHEN</v>
      </c>
    </row>
    <row r="4629" spans="1:12" x14ac:dyDescent="0.2">
      <c r="A4629" t="s">
        <v>10967</v>
      </c>
      <c r="B4629" t="s">
        <v>10968</v>
      </c>
      <c r="C4629" t="s">
        <v>202</v>
      </c>
      <c r="E4629" t="s">
        <v>10671</v>
      </c>
      <c r="F4629">
        <v>3474</v>
      </c>
      <c r="G4629" t="s">
        <v>10672</v>
      </c>
      <c r="H4629" t="s">
        <v>16</v>
      </c>
      <c r="I4629" t="s">
        <v>1470</v>
      </c>
      <c r="J4629" t="s">
        <v>1471</v>
      </c>
      <c r="K4629" t="s">
        <v>1809</v>
      </c>
      <c r="L4629" t="str">
        <f>HYPERLINK("https://business-monitor.ch/de/companies/1106991-wynistorf-sanitaer-und-heizung-gmbh?utm_source=oberaargau","PROFIL ANSEHEN")</f>
        <v>PROFIL ANSEHEN</v>
      </c>
    </row>
    <row r="4630" spans="1:12" x14ac:dyDescent="0.2">
      <c r="A4630" t="s">
        <v>9599</v>
      </c>
      <c r="B4630" t="s">
        <v>9600</v>
      </c>
      <c r="C4630" t="s">
        <v>1812</v>
      </c>
      <c r="E4630" t="s">
        <v>5651</v>
      </c>
      <c r="F4630">
        <v>4912</v>
      </c>
      <c r="G4630" t="s">
        <v>64</v>
      </c>
      <c r="H4630" t="s">
        <v>16</v>
      </c>
      <c r="I4630" t="s">
        <v>653</v>
      </c>
      <c r="J4630" t="s">
        <v>654</v>
      </c>
      <c r="K4630" t="s">
        <v>1809</v>
      </c>
      <c r="L4630" t="str">
        <f>HYPERLINK("https://business-monitor.ch/de/companies/650443-wohnzauber-by-ramona-beyeler?utm_source=oberaargau","PROFIL ANSEHEN")</f>
        <v>PROFIL ANSEHEN</v>
      </c>
    </row>
    <row r="4631" spans="1:12" x14ac:dyDescent="0.2">
      <c r="A4631" t="s">
        <v>6163</v>
      </c>
      <c r="B4631" t="s">
        <v>6164</v>
      </c>
      <c r="C4631" t="s">
        <v>202</v>
      </c>
      <c r="E4631" t="s">
        <v>6165</v>
      </c>
      <c r="F4631">
        <v>3360</v>
      </c>
      <c r="G4631" t="s">
        <v>35</v>
      </c>
      <c r="H4631" t="s">
        <v>16</v>
      </c>
      <c r="I4631" t="s">
        <v>366</v>
      </c>
      <c r="J4631" t="s">
        <v>367</v>
      </c>
      <c r="K4631" t="s">
        <v>1809</v>
      </c>
      <c r="L4631" t="str">
        <f>HYPERLINK("https://business-monitor.ch/de/companies/390726-futuracare-gmbh?utm_source=oberaargau","PROFIL ANSEHEN")</f>
        <v>PROFIL ANSEHEN</v>
      </c>
    </row>
    <row r="4632" spans="1:12" x14ac:dyDescent="0.2">
      <c r="A4632" t="s">
        <v>12692</v>
      </c>
      <c r="B4632" t="s">
        <v>12693</v>
      </c>
      <c r="C4632" t="s">
        <v>202</v>
      </c>
      <c r="E4632" t="s">
        <v>4746</v>
      </c>
      <c r="F4632">
        <v>4704</v>
      </c>
      <c r="G4632" t="s">
        <v>221</v>
      </c>
      <c r="H4632" t="s">
        <v>16</v>
      </c>
      <c r="I4632" t="s">
        <v>1818</v>
      </c>
      <c r="J4632" t="s">
        <v>1819</v>
      </c>
      <c r="K4632" t="s">
        <v>1809</v>
      </c>
      <c r="L4632" t="str">
        <f>HYPERLINK("https://business-monitor.ch/de/companies/1175677-life-management-gmbh?utm_source=oberaargau","PROFIL ANSEHEN")</f>
        <v>PROFIL ANSEHEN</v>
      </c>
    </row>
    <row r="4633" spans="1:12" x14ac:dyDescent="0.2">
      <c r="A4633" t="s">
        <v>8709</v>
      </c>
      <c r="B4633" t="s">
        <v>8710</v>
      </c>
      <c r="C4633" t="s">
        <v>1812</v>
      </c>
      <c r="E4633" t="s">
        <v>8711</v>
      </c>
      <c r="F4633">
        <v>4955</v>
      </c>
      <c r="G4633" t="s">
        <v>684</v>
      </c>
      <c r="H4633" t="s">
        <v>16</v>
      </c>
      <c r="I4633" t="s">
        <v>1053</v>
      </c>
      <c r="J4633" t="s">
        <v>1054</v>
      </c>
      <c r="K4633" t="s">
        <v>1809</v>
      </c>
      <c r="L4633" t="str">
        <f>HYPERLINK("https://business-monitor.ch/de/companies/398046-schneider-beratungen?utm_source=oberaargau","PROFIL ANSEHEN")</f>
        <v>PROFIL ANSEHEN</v>
      </c>
    </row>
    <row r="4634" spans="1:12" x14ac:dyDescent="0.2">
      <c r="A4634" t="s">
        <v>2863</v>
      </c>
      <c r="B4634" t="s">
        <v>2864</v>
      </c>
      <c r="C4634" t="s">
        <v>13</v>
      </c>
      <c r="E4634" t="s">
        <v>2865</v>
      </c>
      <c r="F4634">
        <v>3365</v>
      </c>
      <c r="G4634" t="s">
        <v>1008</v>
      </c>
      <c r="H4634" t="s">
        <v>16</v>
      </c>
      <c r="I4634" t="s">
        <v>570</v>
      </c>
      <c r="J4634" t="s">
        <v>571</v>
      </c>
      <c r="K4634" t="s">
        <v>1809</v>
      </c>
      <c r="L4634" t="str">
        <f>HYPERLINK("https://business-monitor.ch/de/companies/421229-swissdach-ag?utm_source=oberaargau","PROFIL ANSEHEN")</f>
        <v>PROFIL ANSEHEN</v>
      </c>
    </row>
    <row r="4635" spans="1:12" x14ac:dyDescent="0.2">
      <c r="A4635" t="s">
        <v>9766</v>
      </c>
      <c r="B4635" t="s">
        <v>9767</v>
      </c>
      <c r="C4635" t="s">
        <v>13</v>
      </c>
      <c r="E4635" t="s">
        <v>964</v>
      </c>
      <c r="F4635">
        <v>3475</v>
      </c>
      <c r="G4635" t="s">
        <v>965</v>
      </c>
      <c r="H4635" t="s">
        <v>16</v>
      </c>
      <c r="I4635" t="s">
        <v>186</v>
      </c>
      <c r="J4635" t="s">
        <v>187</v>
      </c>
      <c r="K4635" t="s">
        <v>1809</v>
      </c>
      <c r="L4635" t="str">
        <f>HYPERLINK("https://business-monitor.ch/de/companies/1027877-h-r-invest-ag?utm_source=oberaargau","PROFIL ANSEHEN")</f>
        <v>PROFIL ANSEHEN</v>
      </c>
    </row>
    <row r="4636" spans="1:12" x14ac:dyDescent="0.2">
      <c r="A4636" t="s">
        <v>10918</v>
      </c>
      <c r="B4636" t="s">
        <v>10919</v>
      </c>
      <c r="C4636" t="s">
        <v>202</v>
      </c>
      <c r="E4636" t="s">
        <v>13837</v>
      </c>
      <c r="F4636">
        <v>3373</v>
      </c>
      <c r="G4636" t="s">
        <v>2429</v>
      </c>
      <c r="H4636" t="s">
        <v>16</v>
      </c>
      <c r="I4636" t="s">
        <v>935</v>
      </c>
      <c r="J4636" t="s">
        <v>936</v>
      </c>
      <c r="K4636" t="s">
        <v>1809</v>
      </c>
      <c r="L4636" t="str">
        <f>HYPERLINK("https://business-monitor.ch/de/companies/1109256-immo-tietz-gmbh?utm_source=oberaargau","PROFIL ANSEHEN")</f>
        <v>PROFIL ANSEHEN</v>
      </c>
    </row>
    <row r="4637" spans="1:12" x14ac:dyDescent="0.2">
      <c r="A4637" t="s">
        <v>11584</v>
      </c>
      <c r="B4637" t="s">
        <v>11585</v>
      </c>
      <c r="C4637" t="s">
        <v>1812</v>
      </c>
      <c r="E4637" t="s">
        <v>1170</v>
      </c>
      <c r="F4637">
        <v>4900</v>
      </c>
      <c r="G4637" t="s">
        <v>41</v>
      </c>
      <c r="H4637" t="s">
        <v>16</v>
      </c>
      <c r="I4637" t="s">
        <v>2748</v>
      </c>
      <c r="J4637" t="s">
        <v>2749</v>
      </c>
      <c r="K4637" t="s">
        <v>1809</v>
      </c>
      <c r="L4637" t="str">
        <f>HYPERLINK("https://business-monitor.ch/de/companies/1141529-nicole-hoock-coaching?utm_source=oberaargau","PROFIL ANSEHEN")</f>
        <v>PROFIL ANSEHEN</v>
      </c>
    </row>
    <row r="4638" spans="1:12" x14ac:dyDescent="0.2">
      <c r="A4638" t="s">
        <v>8073</v>
      </c>
      <c r="B4638" t="s">
        <v>8074</v>
      </c>
      <c r="C4638" t="s">
        <v>13</v>
      </c>
      <c r="E4638" t="s">
        <v>4960</v>
      </c>
      <c r="F4638">
        <v>4900</v>
      </c>
      <c r="G4638" t="s">
        <v>41</v>
      </c>
      <c r="H4638" t="s">
        <v>16</v>
      </c>
      <c r="I4638" t="s">
        <v>1535</v>
      </c>
      <c r="J4638" t="s">
        <v>1536</v>
      </c>
      <c r="K4638" t="s">
        <v>1809</v>
      </c>
      <c r="L4638" t="str">
        <f>HYPERLINK("https://business-monitor.ch/de/companies/97911-ernst-haeusermann-ag?utm_source=oberaargau","PROFIL ANSEHEN")</f>
        <v>PROFIL ANSEHEN</v>
      </c>
    </row>
    <row r="4639" spans="1:12" x14ac:dyDescent="0.2">
      <c r="A4639" t="s">
        <v>5741</v>
      </c>
      <c r="B4639" t="s">
        <v>5742</v>
      </c>
      <c r="C4639" t="s">
        <v>202</v>
      </c>
      <c r="E4639" t="s">
        <v>5743</v>
      </c>
      <c r="F4639">
        <v>3360</v>
      </c>
      <c r="G4639" t="s">
        <v>35</v>
      </c>
      <c r="H4639" t="s">
        <v>16</v>
      </c>
      <c r="I4639" t="s">
        <v>824</v>
      </c>
      <c r="J4639" t="s">
        <v>825</v>
      </c>
      <c r="K4639" t="s">
        <v>1809</v>
      </c>
      <c r="L4639" t="str">
        <f>HYPERLINK("https://business-monitor.ch/de/companies/527042-thai-tuk-tuk-gmbh?utm_source=oberaargau","PROFIL ANSEHEN")</f>
        <v>PROFIL ANSEHEN</v>
      </c>
    </row>
    <row r="4640" spans="1:12" x14ac:dyDescent="0.2">
      <c r="A4640" t="s">
        <v>6527</v>
      </c>
      <c r="B4640" t="s">
        <v>6528</v>
      </c>
      <c r="C4640" t="s">
        <v>13</v>
      </c>
      <c r="E4640" t="s">
        <v>6529</v>
      </c>
      <c r="F4640">
        <v>4922</v>
      </c>
      <c r="G4640" t="s">
        <v>99</v>
      </c>
      <c r="H4640" t="s">
        <v>16</v>
      </c>
      <c r="I4640" t="s">
        <v>153</v>
      </c>
      <c r="J4640" t="s">
        <v>154</v>
      </c>
      <c r="K4640" t="s">
        <v>1809</v>
      </c>
      <c r="L4640" t="str">
        <f>HYPERLINK("https://business-monitor.ch/de/companies/236005-albatech-ag?utm_source=oberaargau","PROFIL ANSEHEN")</f>
        <v>PROFIL ANSEHEN</v>
      </c>
    </row>
    <row r="4641" spans="1:12" x14ac:dyDescent="0.2">
      <c r="A4641" t="s">
        <v>6713</v>
      </c>
      <c r="B4641" t="s">
        <v>6714</v>
      </c>
      <c r="C4641" t="s">
        <v>1922</v>
      </c>
      <c r="D4641" t="s">
        <v>6715</v>
      </c>
      <c r="E4641" t="s">
        <v>3132</v>
      </c>
      <c r="F4641">
        <v>4900</v>
      </c>
      <c r="G4641" t="s">
        <v>41</v>
      </c>
      <c r="H4641" t="s">
        <v>16</v>
      </c>
      <c r="I4641" t="s">
        <v>640</v>
      </c>
      <c r="J4641" t="s">
        <v>641</v>
      </c>
      <c r="K4641" t="s">
        <v>1809</v>
      </c>
      <c r="L4641" t="str">
        <f>HYPERLINK("https://business-monitor.ch/de/companies/142841-stiftung-ferienheim-oberwald?utm_source=oberaargau","PROFIL ANSEHEN")</f>
        <v>PROFIL ANSEHEN</v>
      </c>
    </row>
    <row r="4642" spans="1:12" x14ac:dyDescent="0.2">
      <c r="A4642" t="s">
        <v>10883</v>
      </c>
      <c r="B4642" t="s">
        <v>10884</v>
      </c>
      <c r="C4642" t="s">
        <v>1812</v>
      </c>
      <c r="E4642" t="s">
        <v>10885</v>
      </c>
      <c r="F4642">
        <v>4538</v>
      </c>
      <c r="G4642" t="s">
        <v>71</v>
      </c>
      <c r="H4642" t="s">
        <v>16</v>
      </c>
      <c r="I4642" t="s">
        <v>10886</v>
      </c>
      <c r="J4642" t="s">
        <v>10887</v>
      </c>
      <c r="K4642" t="s">
        <v>1809</v>
      </c>
      <c r="L4642" t="str">
        <f>HYPERLINK("https://business-monitor.ch/de/companies/1111926-hebammenpraxis-linn-winterhalder?utm_source=oberaargau","PROFIL ANSEHEN")</f>
        <v>PROFIL ANSEHEN</v>
      </c>
    </row>
    <row r="4643" spans="1:12" x14ac:dyDescent="0.2">
      <c r="A4643" t="s">
        <v>7854</v>
      </c>
      <c r="B4643" t="s">
        <v>11183</v>
      </c>
      <c r="C4643" t="s">
        <v>13</v>
      </c>
      <c r="E4643" t="s">
        <v>1817</v>
      </c>
      <c r="F4643">
        <v>4704</v>
      </c>
      <c r="G4643" t="s">
        <v>221</v>
      </c>
      <c r="H4643" t="s">
        <v>16</v>
      </c>
      <c r="I4643" t="s">
        <v>1528</v>
      </c>
      <c r="J4643" t="s">
        <v>1529</v>
      </c>
      <c r="K4643" t="s">
        <v>1809</v>
      </c>
      <c r="L4643" t="str">
        <f>HYPERLINK("https://business-monitor.ch/de/companies/1094906-anwaelte-notare-im-oberaargau-ag?utm_source=oberaargau","PROFIL ANSEHEN")</f>
        <v>PROFIL ANSEHEN</v>
      </c>
    </row>
    <row r="4644" spans="1:12" x14ac:dyDescent="0.2">
      <c r="A4644" t="s">
        <v>5054</v>
      </c>
      <c r="B4644" t="s">
        <v>5055</v>
      </c>
      <c r="C4644" t="s">
        <v>1812</v>
      </c>
      <c r="E4644" t="s">
        <v>4258</v>
      </c>
      <c r="F4644">
        <v>4900</v>
      </c>
      <c r="G4644" t="s">
        <v>41</v>
      </c>
      <c r="H4644" t="s">
        <v>16</v>
      </c>
      <c r="I4644" t="s">
        <v>862</v>
      </c>
      <c r="J4644" t="s">
        <v>863</v>
      </c>
      <c r="K4644" t="s">
        <v>1809</v>
      </c>
      <c r="L4644" t="str">
        <f>HYPERLINK("https://business-monitor.ch/de/companies/276484-druckerei-fankhauser?utm_source=oberaargau","PROFIL ANSEHEN")</f>
        <v>PROFIL ANSEHEN</v>
      </c>
    </row>
    <row r="4645" spans="1:12" x14ac:dyDescent="0.2">
      <c r="A4645" t="s">
        <v>13354</v>
      </c>
      <c r="B4645" t="s">
        <v>13355</v>
      </c>
      <c r="C4645" t="s">
        <v>2258</v>
      </c>
      <c r="E4645" t="s">
        <v>13356</v>
      </c>
      <c r="F4645">
        <v>4900</v>
      </c>
      <c r="G4645" t="s">
        <v>41</v>
      </c>
      <c r="H4645" t="s">
        <v>16</v>
      </c>
      <c r="I4645" t="s">
        <v>13357</v>
      </c>
      <c r="J4645" t="s">
        <v>13358</v>
      </c>
      <c r="K4645" t="s">
        <v>1809</v>
      </c>
      <c r="L4645" t="str">
        <f>HYPERLINK("https://business-monitor.ch/de/companies/1245010-childrightnow-international?utm_source=oberaargau","PROFIL ANSEHEN")</f>
        <v>PROFIL ANSEHEN</v>
      </c>
    </row>
    <row r="4646" spans="1:12" x14ac:dyDescent="0.2">
      <c r="A4646" t="s">
        <v>12662</v>
      </c>
      <c r="B4646" t="s">
        <v>12663</v>
      </c>
      <c r="C4646" t="s">
        <v>202</v>
      </c>
      <c r="D4646" t="s">
        <v>12664</v>
      </c>
      <c r="E4646" t="s">
        <v>12665</v>
      </c>
      <c r="F4646">
        <v>4912</v>
      </c>
      <c r="G4646" t="s">
        <v>64</v>
      </c>
      <c r="H4646" t="s">
        <v>16</v>
      </c>
      <c r="I4646" t="s">
        <v>1535</v>
      </c>
      <c r="J4646" t="s">
        <v>1536</v>
      </c>
      <c r="K4646" t="s">
        <v>1809</v>
      </c>
      <c r="L4646" t="str">
        <f>HYPERLINK("https://business-monitor.ch/de/companies/1203351-garte-zyt-gmbh?utm_source=oberaargau","PROFIL ANSEHEN")</f>
        <v>PROFIL ANSEHEN</v>
      </c>
    </row>
    <row r="4647" spans="1:12" x14ac:dyDescent="0.2">
      <c r="A4647" t="s">
        <v>13593</v>
      </c>
      <c r="B4647" t="s">
        <v>13594</v>
      </c>
      <c r="C4647" t="s">
        <v>202</v>
      </c>
      <c r="E4647" t="s">
        <v>13595</v>
      </c>
      <c r="F4647">
        <v>4704</v>
      </c>
      <c r="G4647" t="s">
        <v>221</v>
      </c>
      <c r="H4647" t="s">
        <v>16</v>
      </c>
      <c r="I4647" t="s">
        <v>4105</v>
      </c>
      <c r="J4647" t="s">
        <v>4106</v>
      </c>
      <c r="K4647" t="s">
        <v>1809</v>
      </c>
      <c r="L4647" t="str">
        <f>HYPERLINK("https://business-monitor.ch/de/companies/1210233-notfallkurse-ch-gmbh?utm_source=oberaargau","PROFIL ANSEHEN")</f>
        <v>PROFIL ANSEHEN</v>
      </c>
    </row>
    <row r="4648" spans="1:12" x14ac:dyDescent="0.2">
      <c r="A4648" t="s">
        <v>12807</v>
      </c>
      <c r="B4648" t="s">
        <v>12808</v>
      </c>
      <c r="C4648" t="s">
        <v>1812</v>
      </c>
      <c r="E4648" t="s">
        <v>12809</v>
      </c>
      <c r="F4648">
        <v>4900</v>
      </c>
      <c r="G4648" t="s">
        <v>41</v>
      </c>
      <c r="H4648" t="s">
        <v>16</v>
      </c>
      <c r="I4648" t="s">
        <v>2192</v>
      </c>
      <c r="J4648" t="s">
        <v>2193</v>
      </c>
      <c r="K4648" t="s">
        <v>1809</v>
      </c>
      <c r="L4648" t="str">
        <f>HYPERLINK("https://business-monitor.ch/de/companies/1218498-agentur-beck?utm_source=oberaargau","PROFIL ANSEHEN")</f>
        <v>PROFIL ANSEHEN</v>
      </c>
    </row>
    <row r="4649" spans="1:12" x14ac:dyDescent="0.2">
      <c r="A4649" t="s">
        <v>8320</v>
      </c>
      <c r="B4649" t="s">
        <v>8321</v>
      </c>
      <c r="C4649" t="s">
        <v>13</v>
      </c>
      <c r="E4649" t="s">
        <v>722</v>
      </c>
      <c r="F4649">
        <v>4950</v>
      </c>
      <c r="G4649" t="s">
        <v>15</v>
      </c>
      <c r="H4649" t="s">
        <v>16</v>
      </c>
      <c r="I4649" t="s">
        <v>464</v>
      </c>
      <c r="J4649" t="s">
        <v>465</v>
      </c>
      <c r="K4649" t="s">
        <v>1809</v>
      </c>
      <c r="L4649" t="str">
        <f>HYPERLINK("https://business-monitor.ch/de/companies/362393-samot-transport-ag?utm_source=oberaargau","PROFIL ANSEHEN")</f>
        <v>PROFIL ANSEHEN</v>
      </c>
    </row>
    <row r="4650" spans="1:12" x14ac:dyDescent="0.2">
      <c r="A4650" t="s">
        <v>13435</v>
      </c>
      <c r="B4650" t="s">
        <v>13436</v>
      </c>
      <c r="C4650" t="s">
        <v>13</v>
      </c>
      <c r="E4650" t="s">
        <v>954</v>
      </c>
      <c r="F4650">
        <v>4950</v>
      </c>
      <c r="G4650" t="s">
        <v>15</v>
      </c>
      <c r="H4650" t="s">
        <v>16</v>
      </c>
      <c r="I4650" t="s">
        <v>935</v>
      </c>
      <c r="J4650" t="s">
        <v>936</v>
      </c>
      <c r="K4650" t="s">
        <v>1809</v>
      </c>
      <c r="L4650" t="str">
        <f>HYPERLINK("https://business-monitor.ch/de/companies/1252605-miiro-ag?utm_source=oberaargau","PROFIL ANSEHEN")</f>
        <v>PROFIL ANSEHEN</v>
      </c>
    </row>
    <row r="4651" spans="1:12" x14ac:dyDescent="0.2">
      <c r="A4651" t="s">
        <v>3241</v>
      </c>
      <c r="B4651" t="s">
        <v>3242</v>
      </c>
      <c r="C4651" t="s">
        <v>202</v>
      </c>
      <c r="E4651" t="s">
        <v>823</v>
      </c>
      <c r="F4651">
        <v>4900</v>
      </c>
      <c r="G4651" t="s">
        <v>41</v>
      </c>
      <c r="H4651" t="s">
        <v>16</v>
      </c>
      <c r="I4651" t="s">
        <v>2534</v>
      </c>
      <c r="J4651" t="s">
        <v>2535</v>
      </c>
      <c r="K4651" t="s">
        <v>1809</v>
      </c>
      <c r="L4651" t="str">
        <f>HYPERLINK("https://business-monitor.ch/de/companies/265239-no-worries-travel-gmbh?utm_source=oberaargau","PROFIL ANSEHEN")</f>
        <v>PROFIL ANSEHEN</v>
      </c>
    </row>
    <row r="4652" spans="1:12" x14ac:dyDescent="0.2">
      <c r="A4652" t="s">
        <v>9868</v>
      </c>
      <c r="B4652" t="s">
        <v>9869</v>
      </c>
      <c r="C4652" t="s">
        <v>13</v>
      </c>
      <c r="E4652" t="s">
        <v>1341</v>
      </c>
      <c r="F4652">
        <v>4914</v>
      </c>
      <c r="G4652" t="s">
        <v>105</v>
      </c>
      <c r="H4652" t="s">
        <v>16</v>
      </c>
      <c r="I4652" t="s">
        <v>560</v>
      </c>
      <c r="J4652" t="s">
        <v>561</v>
      </c>
      <c r="K4652" t="s">
        <v>1809</v>
      </c>
      <c r="L4652" t="str">
        <f>HYPERLINK("https://business-monitor.ch/de/companies/986133-apotheke-meyer-roggwil-ag?utm_source=oberaargau","PROFIL ANSEHEN")</f>
        <v>PROFIL ANSEHEN</v>
      </c>
    </row>
    <row r="4653" spans="1:12" x14ac:dyDescent="0.2">
      <c r="A4653" t="s">
        <v>3406</v>
      </c>
      <c r="B4653" t="s">
        <v>12303</v>
      </c>
      <c r="C4653" t="s">
        <v>1812</v>
      </c>
      <c r="E4653" t="s">
        <v>3407</v>
      </c>
      <c r="F4653">
        <v>4704</v>
      </c>
      <c r="G4653" t="s">
        <v>221</v>
      </c>
      <c r="H4653" t="s">
        <v>16</v>
      </c>
      <c r="I4653" t="s">
        <v>1401</v>
      </c>
      <c r="J4653" t="s">
        <v>1402</v>
      </c>
      <c r="K4653" t="s">
        <v>1809</v>
      </c>
      <c r="L4653" t="str">
        <f>HYPERLINK("https://business-monitor.ch/de/companies/190279-blumen-campanula-lorena-riechsteiner?utm_source=oberaargau","PROFIL ANSEHEN")</f>
        <v>PROFIL ANSEHEN</v>
      </c>
    </row>
    <row r="4654" spans="1:12" x14ac:dyDescent="0.2">
      <c r="A4654" t="s">
        <v>8765</v>
      </c>
      <c r="B4654" t="s">
        <v>8766</v>
      </c>
      <c r="C4654" t="s">
        <v>202</v>
      </c>
      <c r="E4654" t="s">
        <v>8767</v>
      </c>
      <c r="F4654">
        <v>4704</v>
      </c>
      <c r="G4654" t="s">
        <v>221</v>
      </c>
      <c r="H4654" t="s">
        <v>16</v>
      </c>
      <c r="I4654" t="s">
        <v>464</v>
      </c>
      <c r="J4654" t="s">
        <v>465</v>
      </c>
      <c r="K4654" t="s">
        <v>1809</v>
      </c>
      <c r="L4654" t="str">
        <f>HYPERLINK("https://business-monitor.ch/de/companies/364398-clever-trans-gmbh?utm_source=oberaargau","PROFIL ANSEHEN")</f>
        <v>PROFIL ANSEHEN</v>
      </c>
    </row>
    <row r="4655" spans="1:12" x14ac:dyDescent="0.2">
      <c r="A4655" t="s">
        <v>9270</v>
      </c>
      <c r="B4655" t="s">
        <v>9271</v>
      </c>
      <c r="C4655" t="s">
        <v>202</v>
      </c>
      <c r="E4655" t="s">
        <v>9272</v>
      </c>
      <c r="F4655">
        <v>4922</v>
      </c>
      <c r="G4655" t="s">
        <v>99</v>
      </c>
      <c r="H4655" t="s">
        <v>16</v>
      </c>
      <c r="I4655" t="s">
        <v>748</v>
      </c>
      <c r="J4655" t="s">
        <v>749</v>
      </c>
      <c r="K4655" t="s">
        <v>1809</v>
      </c>
      <c r="L4655" t="str">
        <f>HYPERLINK("https://business-monitor.ch/de/companies/110723-gipserei-und-malerei-w-fuchs-gmbh?utm_source=oberaargau","PROFIL ANSEHEN")</f>
        <v>PROFIL ANSEHEN</v>
      </c>
    </row>
    <row r="4656" spans="1:12" x14ac:dyDescent="0.2">
      <c r="A4656" t="s">
        <v>9365</v>
      </c>
      <c r="B4656" t="s">
        <v>9366</v>
      </c>
      <c r="C4656" t="s">
        <v>84</v>
      </c>
      <c r="D4656" t="s">
        <v>9367</v>
      </c>
      <c r="E4656" t="s">
        <v>9368</v>
      </c>
      <c r="F4656">
        <v>4539</v>
      </c>
      <c r="G4656" t="s">
        <v>1134</v>
      </c>
      <c r="H4656" t="s">
        <v>16</v>
      </c>
      <c r="I4656" t="s">
        <v>1409</v>
      </c>
      <c r="J4656" t="s">
        <v>1410</v>
      </c>
      <c r="K4656" t="s">
        <v>1809</v>
      </c>
      <c r="L4656" t="str">
        <f>HYPERLINK("https://business-monitor.ch/de/companies/70436-milchgenossenschaft-rumisberg?utm_source=oberaargau","PROFIL ANSEHEN")</f>
        <v>PROFIL ANSEHEN</v>
      </c>
    </row>
    <row r="4657" spans="1:12" x14ac:dyDescent="0.2">
      <c r="A4657" t="s">
        <v>10417</v>
      </c>
      <c r="B4657" t="s">
        <v>10418</v>
      </c>
      <c r="C4657" t="s">
        <v>1812</v>
      </c>
      <c r="E4657" t="s">
        <v>14674</v>
      </c>
      <c r="F4657">
        <v>3360</v>
      </c>
      <c r="G4657" t="s">
        <v>35</v>
      </c>
      <c r="H4657" t="s">
        <v>16</v>
      </c>
      <c r="I4657" t="s">
        <v>1818</v>
      </c>
      <c r="J4657" t="s">
        <v>1819</v>
      </c>
      <c r="K4657" t="s">
        <v>1809</v>
      </c>
      <c r="L4657" t="str">
        <f>HYPERLINK("https://business-monitor.ch/de/companies/1059866-axa-hauptagentur-ivan-martines?utm_source=oberaargau","PROFIL ANSEHEN")</f>
        <v>PROFIL ANSEHEN</v>
      </c>
    </row>
    <row r="4658" spans="1:12" x14ac:dyDescent="0.2">
      <c r="A4658" t="s">
        <v>12434</v>
      </c>
      <c r="B4658" t="s">
        <v>12435</v>
      </c>
      <c r="C4658" t="s">
        <v>1812</v>
      </c>
      <c r="E4658" t="s">
        <v>12436</v>
      </c>
      <c r="F4658">
        <v>4537</v>
      </c>
      <c r="G4658" t="s">
        <v>113</v>
      </c>
      <c r="H4658" t="s">
        <v>16</v>
      </c>
      <c r="I4658" t="s">
        <v>4105</v>
      </c>
      <c r="J4658" t="s">
        <v>4106</v>
      </c>
      <c r="K4658" t="s">
        <v>1809</v>
      </c>
      <c r="L4658" t="str">
        <f>HYPERLINK("https://business-monitor.ch/de/companies/1196898-dr-wuethrich-schulung-beratung-coaching?utm_source=oberaargau","PROFIL ANSEHEN")</f>
        <v>PROFIL ANSEHEN</v>
      </c>
    </row>
    <row r="4659" spans="1:12" x14ac:dyDescent="0.2">
      <c r="A4659" t="s">
        <v>9321</v>
      </c>
      <c r="B4659" t="s">
        <v>9322</v>
      </c>
      <c r="C4659" t="s">
        <v>13</v>
      </c>
      <c r="E4659" t="s">
        <v>9323</v>
      </c>
      <c r="F4659">
        <v>4900</v>
      </c>
      <c r="G4659" t="s">
        <v>41</v>
      </c>
      <c r="H4659" t="s">
        <v>16</v>
      </c>
      <c r="I4659" t="s">
        <v>232</v>
      </c>
      <c r="J4659" t="s">
        <v>233</v>
      </c>
      <c r="K4659" t="s">
        <v>1809</v>
      </c>
      <c r="L4659" t="str">
        <f>HYPERLINK("https://business-monitor.ch/de/companies/90988-permarop-ag?utm_source=oberaargau","PROFIL ANSEHEN")</f>
        <v>PROFIL ANSEHEN</v>
      </c>
    </row>
    <row r="4660" spans="1:12" x14ac:dyDescent="0.2">
      <c r="A4660" t="s">
        <v>7973</v>
      </c>
      <c r="B4660" t="s">
        <v>7974</v>
      </c>
      <c r="C4660" t="s">
        <v>1812</v>
      </c>
      <c r="E4660" t="s">
        <v>7975</v>
      </c>
      <c r="F4660">
        <v>4954</v>
      </c>
      <c r="G4660" t="s">
        <v>359</v>
      </c>
      <c r="H4660" t="s">
        <v>16</v>
      </c>
      <c r="I4660" t="s">
        <v>624</v>
      </c>
      <c r="J4660" t="s">
        <v>625</v>
      </c>
      <c r="K4660" t="s">
        <v>1809</v>
      </c>
      <c r="L4660" t="str">
        <f>HYPERLINK("https://business-monitor.ch/de/companies/283641-walo-holzbau-zimmerei-innenausbau-w-loosli?utm_source=oberaargau","PROFIL ANSEHEN")</f>
        <v>PROFIL ANSEHEN</v>
      </c>
    </row>
    <row r="4661" spans="1:12" x14ac:dyDescent="0.2">
      <c r="A4661" t="s">
        <v>8141</v>
      </c>
      <c r="B4661" t="s">
        <v>8142</v>
      </c>
      <c r="C4661" t="s">
        <v>1812</v>
      </c>
      <c r="E4661" t="s">
        <v>8143</v>
      </c>
      <c r="F4661">
        <v>3380</v>
      </c>
      <c r="G4661" t="s">
        <v>29</v>
      </c>
      <c r="H4661" t="s">
        <v>16</v>
      </c>
      <c r="I4661" t="s">
        <v>854</v>
      </c>
      <c r="J4661" t="s">
        <v>855</v>
      </c>
      <c r="K4661" t="s">
        <v>1809</v>
      </c>
      <c r="L4661" t="str">
        <f>HYPERLINK("https://business-monitor.ch/de/companies/189706-saisaa-giretheren-v-s?utm_source=oberaargau","PROFIL ANSEHEN")</f>
        <v>PROFIL ANSEHEN</v>
      </c>
    </row>
    <row r="4662" spans="1:12" x14ac:dyDescent="0.2">
      <c r="A4662" t="s">
        <v>8260</v>
      </c>
      <c r="B4662" t="s">
        <v>8261</v>
      </c>
      <c r="C4662" t="s">
        <v>13</v>
      </c>
      <c r="E4662" t="s">
        <v>8262</v>
      </c>
      <c r="F4662">
        <v>4900</v>
      </c>
      <c r="G4662" t="s">
        <v>41</v>
      </c>
      <c r="H4662" t="s">
        <v>16</v>
      </c>
      <c r="I4662" t="s">
        <v>642</v>
      </c>
      <c r="J4662" t="s">
        <v>643</v>
      </c>
      <c r="K4662" t="s">
        <v>1809</v>
      </c>
      <c r="L4662" t="str">
        <f>HYPERLINK("https://business-monitor.ch/de/companies/151872-autohaus-hard-ag?utm_source=oberaargau","PROFIL ANSEHEN")</f>
        <v>PROFIL ANSEHEN</v>
      </c>
    </row>
    <row r="4663" spans="1:12" x14ac:dyDescent="0.2">
      <c r="A4663" t="s">
        <v>2882</v>
      </c>
      <c r="B4663" t="s">
        <v>2883</v>
      </c>
      <c r="C4663" t="s">
        <v>202</v>
      </c>
      <c r="E4663" t="s">
        <v>2884</v>
      </c>
      <c r="F4663">
        <v>3360</v>
      </c>
      <c r="G4663" t="s">
        <v>35</v>
      </c>
      <c r="H4663" t="s">
        <v>16</v>
      </c>
      <c r="I4663" t="s">
        <v>1918</v>
      </c>
      <c r="J4663" t="s">
        <v>1919</v>
      </c>
      <c r="K4663" t="s">
        <v>1809</v>
      </c>
      <c r="L4663" t="str">
        <f>HYPERLINK("https://business-monitor.ch/de/companies/406869-flueckiger-optik-hoercenter-gmbh-herzogenbuchsee?utm_source=oberaargau","PROFIL ANSEHEN")</f>
        <v>PROFIL ANSEHEN</v>
      </c>
    </row>
    <row r="4664" spans="1:12" x14ac:dyDescent="0.2">
      <c r="A4664" t="s">
        <v>11964</v>
      </c>
      <c r="B4664" t="s">
        <v>11965</v>
      </c>
      <c r="C4664" t="s">
        <v>13</v>
      </c>
      <c r="D4664" t="s">
        <v>14675</v>
      </c>
      <c r="E4664" t="s">
        <v>1787</v>
      </c>
      <c r="F4664">
        <v>4900</v>
      </c>
      <c r="G4664" t="s">
        <v>41</v>
      </c>
      <c r="H4664" t="s">
        <v>16</v>
      </c>
      <c r="I4664" t="s">
        <v>935</v>
      </c>
      <c r="J4664" t="s">
        <v>936</v>
      </c>
      <c r="K4664" t="s">
        <v>1809</v>
      </c>
      <c r="L4664" t="str">
        <f>HYPERLINK("https://business-monitor.ch/de/companies/406641-expertisa-immobilien-ag?utm_source=oberaargau","PROFIL ANSEHEN")</f>
        <v>PROFIL ANSEHEN</v>
      </c>
    </row>
    <row r="4665" spans="1:12" x14ac:dyDescent="0.2">
      <c r="A4665" t="s">
        <v>8907</v>
      </c>
      <c r="B4665" t="s">
        <v>8908</v>
      </c>
      <c r="C4665" t="s">
        <v>202</v>
      </c>
      <c r="E4665" t="s">
        <v>8909</v>
      </c>
      <c r="F4665">
        <v>3380</v>
      </c>
      <c r="G4665" t="s">
        <v>29</v>
      </c>
      <c r="H4665" t="s">
        <v>16</v>
      </c>
      <c r="I4665" t="s">
        <v>1267</v>
      </c>
      <c r="J4665" t="s">
        <v>1268</v>
      </c>
      <c r="K4665" t="s">
        <v>1809</v>
      </c>
      <c r="L4665" t="str">
        <f>HYPERLINK("https://business-monitor.ch/de/companies/290418-ariva-gmbh?utm_source=oberaargau","PROFIL ANSEHEN")</f>
        <v>PROFIL ANSEHEN</v>
      </c>
    </row>
    <row r="4666" spans="1:12" x14ac:dyDescent="0.2">
      <c r="A4666" t="s">
        <v>10595</v>
      </c>
      <c r="B4666" t="s">
        <v>10596</v>
      </c>
      <c r="C4666" t="s">
        <v>1812</v>
      </c>
      <c r="E4666" t="s">
        <v>10597</v>
      </c>
      <c r="F4666">
        <v>4932</v>
      </c>
      <c r="G4666" t="s">
        <v>325</v>
      </c>
      <c r="H4666" t="s">
        <v>16</v>
      </c>
      <c r="I4666" t="s">
        <v>1535</v>
      </c>
      <c r="J4666" t="s">
        <v>1536</v>
      </c>
      <c r="K4666" t="s">
        <v>1809</v>
      </c>
      <c r="L4666" t="str">
        <f>HYPERLINK("https://business-monitor.ch/de/companies/386266-wick-gartenpflege?utm_source=oberaargau","PROFIL ANSEHEN")</f>
        <v>PROFIL ANSEHEN</v>
      </c>
    </row>
    <row r="4667" spans="1:12" x14ac:dyDescent="0.2">
      <c r="A4667" t="s">
        <v>5305</v>
      </c>
      <c r="B4667" t="s">
        <v>5306</v>
      </c>
      <c r="C4667" t="s">
        <v>1812</v>
      </c>
      <c r="E4667" t="s">
        <v>5307</v>
      </c>
      <c r="F4667">
        <v>3367</v>
      </c>
      <c r="G4667" t="s">
        <v>455</v>
      </c>
      <c r="H4667" t="s">
        <v>16</v>
      </c>
      <c r="I4667" t="s">
        <v>1535</v>
      </c>
      <c r="J4667" t="s">
        <v>1536</v>
      </c>
      <c r="K4667" t="s">
        <v>1809</v>
      </c>
      <c r="L4667" t="str">
        <f>HYPERLINK("https://business-monitor.ch/de/companies/473887-baumvision-christian-rutschmann?utm_source=oberaargau","PROFIL ANSEHEN")</f>
        <v>PROFIL ANSEHEN</v>
      </c>
    </row>
    <row r="4668" spans="1:12" x14ac:dyDescent="0.2">
      <c r="A4668" t="s">
        <v>4942</v>
      </c>
      <c r="B4668" t="s">
        <v>4943</v>
      </c>
      <c r="C4668" t="s">
        <v>1827</v>
      </c>
      <c r="E4668" t="s">
        <v>4944</v>
      </c>
      <c r="F4668">
        <v>4536</v>
      </c>
      <c r="G4668" t="s">
        <v>1395</v>
      </c>
      <c r="H4668" t="s">
        <v>16</v>
      </c>
      <c r="I4668" t="s">
        <v>433</v>
      </c>
      <c r="J4668" t="s">
        <v>434</v>
      </c>
      <c r="K4668" t="s">
        <v>1809</v>
      </c>
      <c r="L4668" t="str">
        <f>HYPERLINK("https://business-monitor.ch/de/companies/397667-ruppkultur-rupp-fischer-co-kulturmanagement?utm_source=oberaargau","PROFIL ANSEHEN")</f>
        <v>PROFIL ANSEHEN</v>
      </c>
    </row>
    <row r="4669" spans="1:12" x14ac:dyDescent="0.2">
      <c r="A4669" t="s">
        <v>2498</v>
      </c>
      <c r="B4669" t="s">
        <v>2499</v>
      </c>
      <c r="C4669" t="s">
        <v>202</v>
      </c>
      <c r="E4669" t="s">
        <v>11775</v>
      </c>
      <c r="F4669">
        <v>4922</v>
      </c>
      <c r="G4669" t="s">
        <v>1318</v>
      </c>
      <c r="H4669" t="s">
        <v>16</v>
      </c>
      <c r="I4669" t="s">
        <v>139</v>
      </c>
      <c r="J4669" t="s">
        <v>140</v>
      </c>
      <c r="K4669" t="s">
        <v>1809</v>
      </c>
      <c r="L4669" t="str">
        <f>HYPERLINK("https://business-monitor.ch/de/companies/394589-vipworld-gmbh?utm_source=oberaargau","PROFIL ANSEHEN")</f>
        <v>PROFIL ANSEHEN</v>
      </c>
    </row>
    <row r="4670" spans="1:12" x14ac:dyDescent="0.2">
      <c r="A4670" t="s">
        <v>2246</v>
      </c>
      <c r="B4670" t="s">
        <v>2247</v>
      </c>
      <c r="C4670" t="s">
        <v>202</v>
      </c>
      <c r="E4670" t="s">
        <v>2248</v>
      </c>
      <c r="F4670">
        <v>4922</v>
      </c>
      <c r="G4670" t="s">
        <v>99</v>
      </c>
      <c r="H4670" t="s">
        <v>16</v>
      </c>
      <c r="I4670" t="s">
        <v>2249</v>
      </c>
      <c r="J4670" t="s">
        <v>2250</v>
      </c>
      <c r="K4670" t="s">
        <v>1809</v>
      </c>
      <c r="L4670" t="str">
        <f>HYPERLINK("https://business-monitor.ch/de/companies/414499-grossenbacher-storenmontage-gmbh?utm_source=oberaargau","PROFIL ANSEHEN")</f>
        <v>PROFIL ANSEHEN</v>
      </c>
    </row>
    <row r="4671" spans="1:12" x14ac:dyDescent="0.2">
      <c r="A4671" t="s">
        <v>833</v>
      </c>
      <c r="B4671" t="s">
        <v>834</v>
      </c>
      <c r="C4671" t="s">
        <v>13</v>
      </c>
      <c r="E4671" t="s">
        <v>263</v>
      </c>
      <c r="F4671">
        <v>4900</v>
      </c>
      <c r="G4671" t="s">
        <v>41</v>
      </c>
      <c r="H4671" t="s">
        <v>16</v>
      </c>
      <c r="I4671" t="s">
        <v>298</v>
      </c>
      <c r="J4671" t="s">
        <v>299</v>
      </c>
      <c r="K4671" t="s">
        <v>1809</v>
      </c>
      <c r="L4671" t="str">
        <f>HYPERLINK("https://business-monitor.ch/de/companies/100743-toptech-ag-langenthal?utm_source=oberaargau","PROFIL ANSEHEN")</f>
        <v>PROFIL ANSEHEN</v>
      </c>
    </row>
    <row r="4672" spans="1:12" x14ac:dyDescent="0.2">
      <c r="A4672" t="s">
        <v>10335</v>
      </c>
      <c r="B4672" t="s">
        <v>10336</v>
      </c>
      <c r="C4672" t="s">
        <v>13</v>
      </c>
      <c r="E4672" t="s">
        <v>14676</v>
      </c>
      <c r="F4672">
        <v>4954</v>
      </c>
      <c r="G4672" t="s">
        <v>359</v>
      </c>
      <c r="H4672" t="s">
        <v>16</v>
      </c>
      <c r="I4672" t="s">
        <v>824</v>
      </c>
      <c r="J4672" t="s">
        <v>825</v>
      </c>
      <c r="K4672" t="s">
        <v>1809</v>
      </c>
      <c r="L4672" t="str">
        <f>HYPERLINK("https://business-monitor.ch/de/companies/545315-panoramarestaurant-fritzenfluh-ag?utm_source=oberaargau","PROFIL ANSEHEN")</f>
        <v>PROFIL ANSEHEN</v>
      </c>
    </row>
    <row r="4673" spans="1:12" x14ac:dyDescent="0.2">
      <c r="A4673" t="s">
        <v>5082</v>
      </c>
      <c r="B4673" t="s">
        <v>5083</v>
      </c>
      <c r="C4673" t="s">
        <v>1812</v>
      </c>
      <c r="E4673" t="s">
        <v>13055</v>
      </c>
      <c r="F4673">
        <v>4900</v>
      </c>
      <c r="G4673" t="s">
        <v>41</v>
      </c>
      <c r="H4673" t="s">
        <v>16</v>
      </c>
      <c r="I4673" t="s">
        <v>2825</v>
      </c>
      <c r="J4673" t="s">
        <v>2826</v>
      </c>
      <c r="K4673" t="s">
        <v>1809</v>
      </c>
      <c r="L4673" t="str">
        <f>HYPERLINK("https://business-monitor.ch/de/companies/488128-konzept-49-grafik-design-daniela-leibundgut?utm_source=oberaargau","PROFIL ANSEHEN")</f>
        <v>PROFIL ANSEHEN</v>
      </c>
    </row>
    <row r="4674" spans="1:12" x14ac:dyDescent="0.2">
      <c r="A4674" t="s">
        <v>10405</v>
      </c>
      <c r="B4674" t="s">
        <v>10406</v>
      </c>
      <c r="C4674" t="s">
        <v>1812</v>
      </c>
      <c r="E4674" t="s">
        <v>10407</v>
      </c>
      <c r="F4674">
        <v>4922</v>
      </c>
      <c r="G4674" t="s">
        <v>99</v>
      </c>
      <c r="H4674" t="s">
        <v>16</v>
      </c>
      <c r="I4674" t="s">
        <v>1744</v>
      </c>
      <c r="J4674" t="s">
        <v>1745</v>
      </c>
      <c r="K4674" t="s">
        <v>1809</v>
      </c>
      <c r="L4674" t="str">
        <f>HYPERLINK("https://business-monitor.ch/de/companies/1065561-glasdesign-useini?utm_source=oberaargau","PROFIL ANSEHEN")</f>
        <v>PROFIL ANSEHEN</v>
      </c>
    </row>
    <row r="4675" spans="1:12" x14ac:dyDescent="0.2">
      <c r="A4675" t="s">
        <v>6432</v>
      </c>
      <c r="B4675" t="s">
        <v>6433</v>
      </c>
      <c r="C4675" t="s">
        <v>1922</v>
      </c>
      <c r="D4675" t="s">
        <v>6434</v>
      </c>
      <c r="E4675" t="s">
        <v>3260</v>
      </c>
      <c r="F4675">
        <v>4900</v>
      </c>
      <c r="G4675" t="s">
        <v>41</v>
      </c>
      <c r="H4675" t="s">
        <v>16</v>
      </c>
      <c r="I4675" t="s">
        <v>1924</v>
      </c>
      <c r="J4675" t="s">
        <v>1925</v>
      </c>
      <c r="K4675" t="s">
        <v>1809</v>
      </c>
      <c r="L4675" t="str">
        <f>HYPERLINK("https://business-monitor.ch/de/companies/281825-stiftung-sro-und-dahlia-oberaargau?utm_source=oberaargau","PROFIL ANSEHEN")</f>
        <v>PROFIL ANSEHEN</v>
      </c>
    </row>
    <row r="4676" spans="1:12" x14ac:dyDescent="0.2">
      <c r="A4676" t="s">
        <v>8012</v>
      </c>
      <c r="B4676" t="s">
        <v>8013</v>
      </c>
      <c r="C4676" t="s">
        <v>13</v>
      </c>
      <c r="E4676" t="s">
        <v>8014</v>
      </c>
      <c r="F4676">
        <v>4938</v>
      </c>
      <c r="G4676" t="s">
        <v>618</v>
      </c>
      <c r="H4676" t="s">
        <v>16</v>
      </c>
      <c r="I4676" t="s">
        <v>781</v>
      </c>
      <c r="J4676" t="s">
        <v>782</v>
      </c>
      <c r="K4676" t="s">
        <v>1809</v>
      </c>
      <c r="L4676" t="str">
        <f>HYPERLINK("https://business-monitor.ch/de/companies/1086733-goeweil-schweiz-ag?utm_source=oberaargau","PROFIL ANSEHEN")</f>
        <v>PROFIL ANSEHEN</v>
      </c>
    </row>
    <row r="4677" spans="1:12" x14ac:dyDescent="0.2">
      <c r="A4677" t="s">
        <v>3337</v>
      </c>
      <c r="B4677" t="s">
        <v>3338</v>
      </c>
      <c r="C4677" t="s">
        <v>202</v>
      </c>
      <c r="E4677" t="s">
        <v>2334</v>
      </c>
      <c r="F4677">
        <v>4938</v>
      </c>
      <c r="G4677" t="s">
        <v>618</v>
      </c>
      <c r="H4677" t="s">
        <v>16</v>
      </c>
      <c r="I4677" t="s">
        <v>3339</v>
      </c>
      <c r="J4677" t="s">
        <v>3340</v>
      </c>
      <c r="K4677" t="s">
        <v>1809</v>
      </c>
      <c r="L4677" t="str">
        <f>HYPERLINK("https://business-monitor.ch/de/companies/221531-ct-ipex-gmbh?utm_source=oberaargau","PROFIL ANSEHEN")</f>
        <v>PROFIL ANSEHEN</v>
      </c>
    </row>
    <row r="4678" spans="1:12" x14ac:dyDescent="0.2">
      <c r="A4678" t="s">
        <v>2148</v>
      </c>
      <c r="B4678" t="s">
        <v>2149</v>
      </c>
      <c r="C4678" t="s">
        <v>202</v>
      </c>
      <c r="D4678" t="s">
        <v>2150</v>
      </c>
      <c r="E4678" t="s">
        <v>1357</v>
      </c>
      <c r="F4678">
        <v>4900</v>
      </c>
      <c r="G4678" t="s">
        <v>41</v>
      </c>
      <c r="H4678" t="s">
        <v>16</v>
      </c>
      <c r="I4678" t="s">
        <v>1296</v>
      </c>
      <c r="J4678" t="s">
        <v>1297</v>
      </c>
      <c r="K4678" t="s">
        <v>1809</v>
      </c>
      <c r="L4678" t="str">
        <f>HYPERLINK("https://business-monitor.ch/de/companies/624160-lian-partner-gmbh?utm_source=oberaargau","PROFIL ANSEHEN")</f>
        <v>PROFIL ANSEHEN</v>
      </c>
    </row>
    <row r="4679" spans="1:12" x14ac:dyDescent="0.2">
      <c r="A4679" t="s">
        <v>2676</v>
      </c>
      <c r="B4679" t="s">
        <v>2677</v>
      </c>
      <c r="C4679" t="s">
        <v>1812</v>
      </c>
      <c r="E4679" t="s">
        <v>2678</v>
      </c>
      <c r="F4679">
        <v>4704</v>
      </c>
      <c r="G4679" t="s">
        <v>221</v>
      </c>
      <c r="H4679" t="s">
        <v>16</v>
      </c>
      <c r="I4679" t="s">
        <v>1852</v>
      </c>
      <c r="J4679" t="s">
        <v>1853</v>
      </c>
      <c r="K4679" t="s">
        <v>1809</v>
      </c>
      <c r="L4679" t="str">
        <f>HYPERLINK("https://business-monitor.ch/de/companies/477831-holzmech-schlup?utm_source=oberaargau","PROFIL ANSEHEN")</f>
        <v>PROFIL ANSEHEN</v>
      </c>
    </row>
    <row r="4680" spans="1:12" x14ac:dyDescent="0.2">
      <c r="A4680" t="s">
        <v>10368</v>
      </c>
      <c r="B4680" t="s">
        <v>10369</v>
      </c>
      <c r="C4680" t="s">
        <v>202</v>
      </c>
      <c r="E4680" t="s">
        <v>10370</v>
      </c>
      <c r="F4680">
        <v>3380</v>
      </c>
      <c r="G4680" t="s">
        <v>29</v>
      </c>
      <c r="H4680" t="s">
        <v>16</v>
      </c>
      <c r="I4680" t="s">
        <v>642</v>
      </c>
      <c r="J4680" t="s">
        <v>643</v>
      </c>
      <c r="K4680" t="s">
        <v>1809</v>
      </c>
      <c r="L4680" t="str">
        <f>HYPERLINK("https://business-monitor.ch/de/companies/528947-gas-to-play-gmbh?utm_source=oberaargau","PROFIL ANSEHEN")</f>
        <v>PROFIL ANSEHEN</v>
      </c>
    </row>
    <row r="4681" spans="1:12" x14ac:dyDescent="0.2">
      <c r="A4681" t="s">
        <v>9246</v>
      </c>
      <c r="B4681" t="s">
        <v>9247</v>
      </c>
      <c r="C4681" t="s">
        <v>202</v>
      </c>
      <c r="E4681" t="s">
        <v>9248</v>
      </c>
      <c r="F4681">
        <v>4900</v>
      </c>
      <c r="G4681" t="s">
        <v>41</v>
      </c>
      <c r="H4681" t="s">
        <v>16</v>
      </c>
      <c r="I4681" t="s">
        <v>144</v>
      </c>
      <c r="J4681" t="s">
        <v>145</v>
      </c>
      <c r="K4681" t="s">
        <v>1809</v>
      </c>
      <c r="L4681" t="str">
        <f>HYPERLINK("https://business-monitor.ch/de/companies/119027-erlacher-polster-gmbh?utm_source=oberaargau","PROFIL ANSEHEN")</f>
        <v>PROFIL ANSEHEN</v>
      </c>
    </row>
    <row r="4682" spans="1:12" x14ac:dyDescent="0.2">
      <c r="A4682" t="s">
        <v>10512</v>
      </c>
      <c r="B4682" t="s">
        <v>10513</v>
      </c>
      <c r="C4682" t="s">
        <v>13</v>
      </c>
      <c r="E4682" t="s">
        <v>722</v>
      </c>
      <c r="F4682">
        <v>4950</v>
      </c>
      <c r="G4682" t="s">
        <v>15</v>
      </c>
      <c r="H4682" t="s">
        <v>16</v>
      </c>
      <c r="I4682" t="s">
        <v>182</v>
      </c>
      <c r="J4682" t="s">
        <v>183</v>
      </c>
      <c r="K4682" t="s">
        <v>1809</v>
      </c>
      <c r="L4682" t="str">
        <f>HYPERLINK("https://business-monitor.ch/de/companies/437287-samot-premium-holding-ag?utm_source=oberaargau","PROFIL ANSEHEN")</f>
        <v>PROFIL ANSEHEN</v>
      </c>
    </row>
    <row r="4683" spans="1:12" x14ac:dyDescent="0.2">
      <c r="A4683" t="s">
        <v>5228</v>
      </c>
      <c r="B4683" t="s">
        <v>5229</v>
      </c>
      <c r="C4683" t="s">
        <v>13</v>
      </c>
      <c r="E4683" t="s">
        <v>12270</v>
      </c>
      <c r="F4683">
        <v>4912</v>
      </c>
      <c r="G4683" t="s">
        <v>64</v>
      </c>
      <c r="H4683" t="s">
        <v>16</v>
      </c>
      <c r="I4683" t="s">
        <v>260</v>
      </c>
      <c r="J4683" t="s">
        <v>261</v>
      </c>
      <c r="K4683" t="s">
        <v>1809</v>
      </c>
      <c r="L4683" t="str">
        <f>HYPERLINK("https://business-monitor.ch/de/companies/248321-haldimann-schaerer-ag?utm_source=oberaargau","PROFIL ANSEHEN")</f>
        <v>PROFIL ANSEHEN</v>
      </c>
    </row>
    <row r="4684" spans="1:12" x14ac:dyDescent="0.2">
      <c r="A4684" t="s">
        <v>10557</v>
      </c>
      <c r="B4684" t="s">
        <v>10558</v>
      </c>
      <c r="C4684" t="s">
        <v>13</v>
      </c>
      <c r="E4684" t="s">
        <v>10559</v>
      </c>
      <c r="F4684">
        <v>4900</v>
      </c>
      <c r="G4684" t="s">
        <v>41</v>
      </c>
      <c r="H4684" t="s">
        <v>16</v>
      </c>
      <c r="I4684" t="s">
        <v>260</v>
      </c>
      <c r="J4684" t="s">
        <v>261</v>
      </c>
      <c r="K4684" t="s">
        <v>1809</v>
      </c>
      <c r="L4684" t="str">
        <f>HYPERLINK("https://business-monitor.ch/de/companies/270513-negri-architektur-und-partner-ag?utm_source=oberaargau","PROFIL ANSEHEN")</f>
        <v>PROFIL ANSEHEN</v>
      </c>
    </row>
    <row r="4685" spans="1:12" x14ac:dyDescent="0.2">
      <c r="A4685" t="s">
        <v>3583</v>
      </c>
      <c r="B4685" t="s">
        <v>3584</v>
      </c>
      <c r="C4685" t="s">
        <v>202</v>
      </c>
      <c r="D4685" t="s">
        <v>14677</v>
      </c>
      <c r="E4685" t="s">
        <v>14678</v>
      </c>
      <c r="F4685">
        <v>4900</v>
      </c>
      <c r="G4685" t="s">
        <v>41</v>
      </c>
      <c r="H4685" t="s">
        <v>16</v>
      </c>
      <c r="I4685" t="s">
        <v>72</v>
      </c>
      <c r="J4685" t="s">
        <v>73</v>
      </c>
      <c r="K4685" t="s">
        <v>1809</v>
      </c>
      <c r="L4685" t="str">
        <f>HYPERLINK("https://business-monitor.ch/de/companies/106824-rema-gastro-gmbh?utm_source=oberaargau","PROFIL ANSEHEN")</f>
        <v>PROFIL ANSEHEN</v>
      </c>
    </row>
    <row r="4686" spans="1:12" x14ac:dyDescent="0.2">
      <c r="A4686" t="s">
        <v>2228</v>
      </c>
      <c r="B4686" t="s">
        <v>2229</v>
      </c>
      <c r="C4686" t="s">
        <v>1812</v>
      </c>
      <c r="E4686" t="s">
        <v>2230</v>
      </c>
      <c r="F4686">
        <v>3368</v>
      </c>
      <c r="G4686" t="s">
        <v>308</v>
      </c>
      <c r="H4686" t="s">
        <v>16</v>
      </c>
      <c r="I4686" t="s">
        <v>2231</v>
      </c>
      <c r="J4686" t="s">
        <v>2232</v>
      </c>
      <c r="K4686" t="s">
        <v>1809</v>
      </c>
      <c r="L4686" t="str">
        <f>HYPERLINK("https://business-monitor.ch/de/companies/479359-billeter-malergeschaeft?utm_source=oberaargau","PROFIL ANSEHEN")</f>
        <v>PROFIL ANSEHEN</v>
      </c>
    </row>
    <row r="4687" spans="1:12" x14ac:dyDescent="0.2">
      <c r="A4687" t="s">
        <v>2685</v>
      </c>
      <c r="B4687" t="s">
        <v>2686</v>
      </c>
      <c r="C4687" t="s">
        <v>1922</v>
      </c>
      <c r="D4687" t="s">
        <v>2687</v>
      </c>
      <c r="E4687" t="s">
        <v>2688</v>
      </c>
      <c r="F4687">
        <v>4914</v>
      </c>
      <c r="G4687" t="s">
        <v>105</v>
      </c>
      <c r="H4687" t="s">
        <v>16</v>
      </c>
      <c r="I4687" t="s">
        <v>640</v>
      </c>
      <c r="J4687" t="s">
        <v>641</v>
      </c>
      <c r="K4687" t="s">
        <v>1809</v>
      </c>
      <c r="L4687" t="str">
        <f>HYPERLINK("https://business-monitor.ch/de/companies/471859-stiftung-taunerhaus-roggwil?utm_source=oberaargau","PROFIL ANSEHEN")</f>
        <v>PROFIL ANSEHEN</v>
      </c>
    </row>
    <row r="4688" spans="1:12" x14ac:dyDescent="0.2">
      <c r="A4688" t="s">
        <v>8263</v>
      </c>
      <c r="B4688" t="s">
        <v>8264</v>
      </c>
      <c r="C4688" t="s">
        <v>1812</v>
      </c>
      <c r="E4688" t="s">
        <v>11721</v>
      </c>
      <c r="F4688">
        <v>4900</v>
      </c>
      <c r="G4688" t="s">
        <v>41</v>
      </c>
      <c r="H4688" t="s">
        <v>16</v>
      </c>
      <c r="I4688" t="s">
        <v>2440</v>
      </c>
      <c r="J4688" t="s">
        <v>2441</v>
      </c>
      <c r="K4688" t="s">
        <v>1809</v>
      </c>
      <c r="L4688" t="str">
        <f>HYPERLINK("https://business-monitor.ch/de/companies/467438-aa-bodenbelaege-adrian-anderegg?utm_source=oberaargau","PROFIL ANSEHEN")</f>
        <v>PROFIL ANSEHEN</v>
      </c>
    </row>
    <row r="4689" spans="1:12" x14ac:dyDescent="0.2">
      <c r="A4689" t="s">
        <v>12297</v>
      </c>
      <c r="B4689" t="s">
        <v>12298</v>
      </c>
      <c r="C4689" t="s">
        <v>202</v>
      </c>
      <c r="E4689" t="s">
        <v>1834</v>
      </c>
      <c r="F4689">
        <v>3360</v>
      </c>
      <c r="G4689" t="s">
        <v>35</v>
      </c>
      <c r="H4689" t="s">
        <v>16</v>
      </c>
      <c r="I4689" t="s">
        <v>3864</v>
      </c>
      <c r="J4689" t="s">
        <v>3865</v>
      </c>
      <c r="K4689" t="s">
        <v>1809</v>
      </c>
      <c r="L4689" t="str">
        <f>HYPERLINK("https://business-monitor.ch/de/companies/631441-school-look-gmbh?utm_source=oberaargau","PROFIL ANSEHEN")</f>
        <v>PROFIL ANSEHEN</v>
      </c>
    </row>
    <row r="4690" spans="1:12" x14ac:dyDescent="0.2">
      <c r="A4690" t="s">
        <v>8045</v>
      </c>
      <c r="B4690" t="s">
        <v>8046</v>
      </c>
      <c r="C4690" t="s">
        <v>1812</v>
      </c>
      <c r="E4690" t="s">
        <v>8047</v>
      </c>
      <c r="F4690">
        <v>4538</v>
      </c>
      <c r="G4690" t="s">
        <v>71</v>
      </c>
      <c r="H4690" t="s">
        <v>16</v>
      </c>
      <c r="I4690" t="s">
        <v>1535</v>
      </c>
      <c r="J4690" t="s">
        <v>1536</v>
      </c>
      <c r="K4690" t="s">
        <v>1809</v>
      </c>
      <c r="L4690" t="str">
        <f>HYPERLINK("https://business-monitor.ch/de/companies/461787-ryf-gartenbau?utm_source=oberaargau","PROFIL ANSEHEN")</f>
        <v>PROFIL ANSEHEN</v>
      </c>
    </row>
    <row r="4691" spans="1:12" x14ac:dyDescent="0.2">
      <c r="A4691" t="s">
        <v>5625</v>
      </c>
      <c r="B4691" t="s">
        <v>5626</v>
      </c>
      <c r="C4691" t="s">
        <v>1812</v>
      </c>
      <c r="E4691" t="s">
        <v>5627</v>
      </c>
      <c r="F4691">
        <v>4538</v>
      </c>
      <c r="G4691" t="s">
        <v>71</v>
      </c>
      <c r="H4691" t="s">
        <v>16</v>
      </c>
      <c r="I4691" t="s">
        <v>24</v>
      </c>
      <c r="J4691" t="s">
        <v>25</v>
      </c>
      <c r="K4691" t="s">
        <v>1809</v>
      </c>
      <c r="L4691" t="str">
        <f>HYPERLINK("https://business-monitor.ch/de/companies/468646-kmu360-stueber?utm_source=oberaargau","PROFIL ANSEHEN")</f>
        <v>PROFIL ANSEHEN</v>
      </c>
    </row>
    <row r="4692" spans="1:12" x14ac:dyDescent="0.2">
      <c r="A4692" t="s">
        <v>9625</v>
      </c>
      <c r="B4692" t="s">
        <v>13599</v>
      </c>
      <c r="C4692" t="s">
        <v>1812</v>
      </c>
      <c r="E4692" t="s">
        <v>13600</v>
      </c>
      <c r="F4692">
        <v>4900</v>
      </c>
      <c r="G4692" t="s">
        <v>41</v>
      </c>
      <c r="H4692" t="s">
        <v>16</v>
      </c>
      <c r="I4692" t="s">
        <v>1860</v>
      </c>
      <c r="J4692" t="s">
        <v>1861</v>
      </c>
      <c r="K4692" t="s">
        <v>1809</v>
      </c>
      <c r="L4692" t="str">
        <f>HYPERLINK("https://business-monitor.ch/de/companies/650973-coiffure-citystyle-rebecca-von-allmen?utm_source=oberaargau","PROFIL ANSEHEN")</f>
        <v>PROFIL ANSEHEN</v>
      </c>
    </row>
    <row r="4693" spans="1:12" x14ac:dyDescent="0.2">
      <c r="A4693" t="s">
        <v>5093</v>
      </c>
      <c r="B4693" t="s">
        <v>5094</v>
      </c>
      <c r="C4693" t="s">
        <v>1812</v>
      </c>
      <c r="E4693" t="s">
        <v>5095</v>
      </c>
      <c r="F4693">
        <v>4704</v>
      </c>
      <c r="G4693" t="s">
        <v>221</v>
      </c>
      <c r="H4693" t="s">
        <v>16</v>
      </c>
      <c r="I4693" t="s">
        <v>2748</v>
      </c>
      <c r="J4693" t="s">
        <v>2749</v>
      </c>
      <c r="K4693" t="s">
        <v>1809</v>
      </c>
      <c r="L4693" t="str">
        <f>HYPERLINK("https://business-monitor.ch/de/companies/461978-hundehorte-ch-celine-rueegsegger?utm_source=oberaargau","PROFIL ANSEHEN")</f>
        <v>PROFIL ANSEHEN</v>
      </c>
    </row>
    <row r="4694" spans="1:12" x14ac:dyDescent="0.2">
      <c r="A4694" t="s">
        <v>2811</v>
      </c>
      <c r="B4694" t="s">
        <v>2812</v>
      </c>
      <c r="C4694" t="s">
        <v>202</v>
      </c>
      <c r="E4694" t="s">
        <v>2813</v>
      </c>
      <c r="F4694">
        <v>4536</v>
      </c>
      <c r="G4694" t="s">
        <v>1395</v>
      </c>
      <c r="H4694" t="s">
        <v>16</v>
      </c>
      <c r="I4694" t="s">
        <v>1535</v>
      </c>
      <c r="J4694" t="s">
        <v>1536</v>
      </c>
      <c r="K4694" t="s">
        <v>1809</v>
      </c>
      <c r="L4694" t="str">
        <f>HYPERLINK("https://business-monitor.ch/de/companies/426200-lanz-gartengestaltung-gmbh?utm_source=oberaargau","PROFIL ANSEHEN")</f>
        <v>PROFIL ANSEHEN</v>
      </c>
    </row>
    <row r="4695" spans="1:12" x14ac:dyDescent="0.2">
      <c r="A4695" t="s">
        <v>5993</v>
      </c>
      <c r="B4695" t="s">
        <v>14353</v>
      </c>
      <c r="C4695" t="s">
        <v>13</v>
      </c>
      <c r="E4695" t="s">
        <v>2559</v>
      </c>
      <c r="F4695">
        <v>4704</v>
      </c>
      <c r="G4695" t="s">
        <v>221</v>
      </c>
      <c r="H4695" t="s">
        <v>16</v>
      </c>
      <c r="I4695" t="s">
        <v>570</v>
      </c>
      <c r="J4695" t="s">
        <v>571</v>
      </c>
      <c r="K4695" t="s">
        <v>1809</v>
      </c>
      <c r="L4695" t="str">
        <f>HYPERLINK("https://business-monitor.ch/de/companies/451104-boesi-haustechnik-ag?utm_source=oberaargau","PROFIL ANSEHEN")</f>
        <v>PROFIL ANSEHEN</v>
      </c>
    </row>
    <row r="4696" spans="1:12" x14ac:dyDescent="0.2">
      <c r="A4696" t="s">
        <v>10337</v>
      </c>
      <c r="B4696" t="s">
        <v>10338</v>
      </c>
      <c r="C4696" t="s">
        <v>13</v>
      </c>
      <c r="E4696" t="s">
        <v>8563</v>
      </c>
      <c r="F4696">
        <v>4900</v>
      </c>
      <c r="G4696" t="s">
        <v>41</v>
      </c>
      <c r="H4696" t="s">
        <v>16</v>
      </c>
      <c r="I4696" t="s">
        <v>642</v>
      </c>
      <c r="J4696" t="s">
        <v>643</v>
      </c>
      <c r="K4696" t="s">
        <v>1809</v>
      </c>
      <c r="L4696" t="str">
        <f>HYPERLINK("https://business-monitor.ch/de/companies/544079-garage-oetterli-ag?utm_source=oberaargau","PROFIL ANSEHEN")</f>
        <v>PROFIL ANSEHEN</v>
      </c>
    </row>
    <row r="4697" spans="1:12" x14ac:dyDescent="0.2">
      <c r="A4697" t="s">
        <v>9849</v>
      </c>
      <c r="B4697" t="s">
        <v>9850</v>
      </c>
      <c r="C4697" t="s">
        <v>13</v>
      </c>
      <c r="E4697" t="s">
        <v>9851</v>
      </c>
      <c r="F4697">
        <v>4900</v>
      </c>
      <c r="G4697" t="s">
        <v>41</v>
      </c>
      <c r="H4697" t="s">
        <v>16</v>
      </c>
      <c r="I4697" t="s">
        <v>5080</v>
      </c>
      <c r="J4697" t="s">
        <v>5081</v>
      </c>
      <c r="K4697" t="s">
        <v>1809</v>
      </c>
      <c r="L4697" t="str">
        <f>HYPERLINK("https://business-monitor.ch/de/companies/990689-oberlimatte-ag?utm_source=oberaargau","PROFIL ANSEHEN")</f>
        <v>PROFIL ANSEHEN</v>
      </c>
    </row>
    <row r="4698" spans="1:12" x14ac:dyDescent="0.2">
      <c r="A4698" t="s">
        <v>2649</v>
      </c>
      <c r="B4698" t="s">
        <v>2650</v>
      </c>
      <c r="C4698" t="s">
        <v>202</v>
      </c>
      <c r="E4698" t="s">
        <v>2651</v>
      </c>
      <c r="F4698">
        <v>4537</v>
      </c>
      <c r="G4698" t="s">
        <v>113</v>
      </c>
      <c r="H4698" t="s">
        <v>16</v>
      </c>
      <c r="I4698" t="s">
        <v>997</v>
      </c>
      <c r="J4698" t="s">
        <v>998</v>
      </c>
      <c r="K4698" t="s">
        <v>1809</v>
      </c>
      <c r="L4698" t="str">
        <f>HYPERLINK("https://business-monitor.ch/de/companies/489145-bitterli-bike-gmbh?utm_source=oberaargau","PROFIL ANSEHEN")</f>
        <v>PROFIL ANSEHEN</v>
      </c>
    </row>
    <row r="4699" spans="1:12" x14ac:dyDescent="0.2">
      <c r="A4699" t="s">
        <v>6693</v>
      </c>
      <c r="B4699" t="s">
        <v>6694</v>
      </c>
      <c r="C4699" t="s">
        <v>202</v>
      </c>
      <c r="D4699" t="s">
        <v>13056</v>
      </c>
      <c r="E4699" t="s">
        <v>2538</v>
      </c>
      <c r="F4699">
        <v>4900</v>
      </c>
      <c r="G4699" t="s">
        <v>41</v>
      </c>
      <c r="H4699" t="s">
        <v>16</v>
      </c>
      <c r="I4699" t="s">
        <v>1661</v>
      </c>
      <c r="J4699" t="s">
        <v>1662</v>
      </c>
      <c r="K4699" t="s">
        <v>1809</v>
      </c>
      <c r="L4699" t="str">
        <f>HYPERLINK("https://business-monitor.ch/de/companies/159657-megacomp-computers-gmbh?utm_source=oberaargau","PROFIL ANSEHEN")</f>
        <v>PROFIL ANSEHEN</v>
      </c>
    </row>
    <row r="4700" spans="1:12" x14ac:dyDescent="0.2">
      <c r="A4700" t="s">
        <v>3258</v>
      </c>
      <c r="B4700" t="s">
        <v>3259</v>
      </c>
      <c r="C4700" t="s">
        <v>1922</v>
      </c>
      <c r="D4700" t="s">
        <v>13815</v>
      </c>
      <c r="E4700" t="s">
        <v>3260</v>
      </c>
      <c r="F4700">
        <v>4900</v>
      </c>
      <c r="G4700" t="s">
        <v>41</v>
      </c>
      <c r="H4700" t="s">
        <v>16</v>
      </c>
      <c r="I4700" t="s">
        <v>2116</v>
      </c>
      <c r="J4700" t="s">
        <v>2117</v>
      </c>
      <c r="K4700" t="s">
        <v>1809</v>
      </c>
      <c r="L4700" t="str">
        <f>HYPERLINK("https://business-monitor.ch/de/companies/255448-pensionskasse-des-spitals-region-oberaargau-pk-sro?utm_source=oberaargau","PROFIL ANSEHEN")</f>
        <v>PROFIL ANSEHEN</v>
      </c>
    </row>
    <row r="4701" spans="1:12" x14ac:dyDescent="0.2">
      <c r="A4701" t="s">
        <v>8704</v>
      </c>
      <c r="B4701" t="s">
        <v>8705</v>
      </c>
      <c r="C4701" t="s">
        <v>202</v>
      </c>
      <c r="E4701" t="s">
        <v>8706</v>
      </c>
      <c r="F4701">
        <v>4936</v>
      </c>
      <c r="G4701" t="s">
        <v>768</v>
      </c>
      <c r="H4701" t="s">
        <v>16</v>
      </c>
      <c r="I4701" t="s">
        <v>8707</v>
      </c>
      <c r="J4701" t="s">
        <v>8708</v>
      </c>
      <c r="K4701" t="s">
        <v>1809</v>
      </c>
      <c r="L4701" t="str">
        <f>HYPERLINK("https://business-monitor.ch/de/companies/237037-fruechte-sigrist-gmbh?utm_source=oberaargau","PROFIL ANSEHEN")</f>
        <v>PROFIL ANSEHEN</v>
      </c>
    </row>
    <row r="4702" spans="1:12" x14ac:dyDescent="0.2">
      <c r="A4702" t="s">
        <v>4135</v>
      </c>
      <c r="B4702" t="s">
        <v>4136</v>
      </c>
      <c r="C4702" t="s">
        <v>202</v>
      </c>
      <c r="E4702" t="s">
        <v>195</v>
      </c>
      <c r="F4702">
        <v>4538</v>
      </c>
      <c r="G4702" t="s">
        <v>71</v>
      </c>
      <c r="H4702" t="s">
        <v>16</v>
      </c>
      <c r="I4702" t="s">
        <v>232</v>
      </c>
      <c r="J4702" t="s">
        <v>233</v>
      </c>
      <c r="K4702" t="s">
        <v>1809</v>
      </c>
      <c r="L4702" t="str">
        <f>HYPERLINK("https://business-monitor.ch/de/companies/1028343-all-in-one-treuhand-gmbh?utm_source=oberaargau","PROFIL ANSEHEN")</f>
        <v>PROFIL ANSEHEN</v>
      </c>
    </row>
    <row r="4703" spans="1:12" x14ac:dyDescent="0.2">
      <c r="A4703" t="s">
        <v>8657</v>
      </c>
      <c r="B4703" t="s">
        <v>8658</v>
      </c>
      <c r="C4703" t="s">
        <v>13</v>
      </c>
      <c r="E4703" t="s">
        <v>8659</v>
      </c>
      <c r="F4703">
        <v>3367</v>
      </c>
      <c r="G4703" t="s">
        <v>455</v>
      </c>
      <c r="H4703" t="s">
        <v>16</v>
      </c>
      <c r="I4703" t="s">
        <v>191</v>
      </c>
      <c r="J4703" t="s">
        <v>192</v>
      </c>
      <c r="K4703" t="s">
        <v>1809</v>
      </c>
      <c r="L4703" t="str">
        <f>HYPERLINK("https://business-monitor.ch/de/companies/159337-haus-hof-ag?utm_source=oberaargau","PROFIL ANSEHEN")</f>
        <v>PROFIL ANSEHEN</v>
      </c>
    </row>
    <row r="4704" spans="1:12" x14ac:dyDescent="0.2">
      <c r="A4704" t="s">
        <v>11181</v>
      </c>
      <c r="B4704" t="s">
        <v>11182</v>
      </c>
      <c r="C4704" t="s">
        <v>1922</v>
      </c>
      <c r="D4704" t="s">
        <v>5218</v>
      </c>
      <c r="E4704" t="s">
        <v>5219</v>
      </c>
      <c r="F4704">
        <v>4900</v>
      </c>
      <c r="G4704" t="s">
        <v>41</v>
      </c>
      <c r="H4704" t="s">
        <v>16</v>
      </c>
      <c r="I4704" t="s">
        <v>3272</v>
      </c>
      <c r="J4704" t="s">
        <v>3273</v>
      </c>
      <c r="K4704" t="s">
        <v>1809</v>
      </c>
      <c r="L4704" t="str">
        <f>HYPERLINK("https://business-monitor.ch/de/companies/1132286-fondation-horizons?utm_source=oberaargau","PROFIL ANSEHEN")</f>
        <v>PROFIL ANSEHEN</v>
      </c>
    </row>
    <row r="4705" spans="1:12" x14ac:dyDescent="0.2">
      <c r="A4705" t="s">
        <v>11759</v>
      </c>
      <c r="B4705" t="s">
        <v>11760</v>
      </c>
      <c r="C4705" t="s">
        <v>1812</v>
      </c>
      <c r="E4705" t="s">
        <v>10658</v>
      </c>
      <c r="F4705">
        <v>4900</v>
      </c>
      <c r="G4705" t="s">
        <v>41</v>
      </c>
      <c r="H4705" t="s">
        <v>16</v>
      </c>
      <c r="I4705" t="s">
        <v>3344</v>
      </c>
      <c r="J4705" t="s">
        <v>3345</v>
      </c>
      <c r="K4705" t="s">
        <v>1809</v>
      </c>
      <c r="L4705" t="str">
        <f>HYPERLINK("https://business-monitor.ch/de/companies/1152355-betreuungsdienst-rund-um-die-uhr-susanna-ramiqi?utm_source=oberaargau","PROFIL ANSEHEN")</f>
        <v>PROFIL ANSEHEN</v>
      </c>
    </row>
    <row r="4706" spans="1:12" x14ac:dyDescent="0.2">
      <c r="A4706" t="s">
        <v>4045</v>
      </c>
      <c r="B4706" t="s">
        <v>4046</v>
      </c>
      <c r="C4706" t="s">
        <v>2178</v>
      </c>
      <c r="E4706" t="s">
        <v>4047</v>
      </c>
      <c r="F4706">
        <v>4900</v>
      </c>
      <c r="G4706" t="s">
        <v>41</v>
      </c>
      <c r="H4706" t="s">
        <v>16</v>
      </c>
      <c r="I4706" t="s">
        <v>570</v>
      </c>
      <c r="J4706" t="s">
        <v>571</v>
      </c>
      <c r="K4706" t="s">
        <v>1809</v>
      </c>
      <c r="L4706" t="str">
        <f>HYPERLINK("https://business-monitor.ch/de/companies/660216-lang-heizungen-ag?utm_source=oberaargau","PROFIL ANSEHEN")</f>
        <v>PROFIL ANSEHEN</v>
      </c>
    </row>
    <row r="4707" spans="1:12" x14ac:dyDescent="0.2">
      <c r="A4707" t="s">
        <v>11827</v>
      </c>
      <c r="B4707" t="s">
        <v>11828</v>
      </c>
      <c r="C4707" t="s">
        <v>13</v>
      </c>
      <c r="E4707" t="s">
        <v>2210</v>
      </c>
      <c r="F4707">
        <v>4900</v>
      </c>
      <c r="G4707" t="s">
        <v>41</v>
      </c>
      <c r="H4707" t="s">
        <v>16</v>
      </c>
      <c r="I4707" t="s">
        <v>134</v>
      </c>
      <c r="J4707" t="s">
        <v>135</v>
      </c>
      <c r="K4707" t="s">
        <v>1809</v>
      </c>
      <c r="L4707" t="str">
        <f>HYPERLINK("https://business-monitor.ch/de/companies/1171384-ami-et-elektrotechnik-ag?utm_source=oberaargau","PROFIL ANSEHEN")</f>
        <v>PROFIL ANSEHEN</v>
      </c>
    </row>
    <row r="4708" spans="1:12" x14ac:dyDescent="0.2">
      <c r="A4708" t="s">
        <v>8244</v>
      </c>
      <c r="B4708" t="s">
        <v>8245</v>
      </c>
      <c r="C4708" t="s">
        <v>202</v>
      </c>
      <c r="E4708" t="s">
        <v>3111</v>
      </c>
      <c r="F4708">
        <v>4537</v>
      </c>
      <c r="G4708" t="s">
        <v>113</v>
      </c>
      <c r="H4708" t="s">
        <v>16</v>
      </c>
      <c r="I4708" t="s">
        <v>935</v>
      </c>
      <c r="J4708" t="s">
        <v>936</v>
      </c>
      <c r="K4708" t="s">
        <v>1809</v>
      </c>
      <c r="L4708" t="str">
        <f>HYPERLINK("https://business-monitor.ch/de/companies/1070987-style-group-gmbh?utm_source=oberaargau","PROFIL ANSEHEN")</f>
        <v>PROFIL ANSEHEN</v>
      </c>
    </row>
    <row r="4709" spans="1:12" x14ac:dyDescent="0.2">
      <c r="A4709" t="s">
        <v>11522</v>
      </c>
      <c r="B4709" t="s">
        <v>11523</v>
      </c>
      <c r="C4709" t="s">
        <v>1812</v>
      </c>
      <c r="E4709" t="s">
        <v>12945</v>
      </c>
      <c r="F4709">
        <v>4900</v>
      </c>
      <c r="G4709" t="s">
        <v>41</v>
      </c>
      <c r="H4709" t="s">
        <v>16</v>
      </c>
      <c r="I4709" t="s">
        <v>3861</v>
      </c>
      <c r="J4709" t="s">
        <v>3862</v>
      </c>
      <c r="K4709" t="s">
        <v>1809</v>
      </c>
      <c r="L4709" t="str">
        <f>HYPERLINK("https://business-monitor.ch/de/companies/1139982-jantra-thai-massage-spa-raphiphon-mueller?utm_source=oberaargau","PROFIL ANSEHEN")</f>
        <v>PROFIL ANSEHEN</v>
      </c>
    </row>
    <row r="4710" spans="1:12" x14ac:dyDescent="0.2">
      <c r="A4710" t="s">
        <v>8976</v>
      </c>
      <c r="B4710" t="s">
        <v>8977</v>
      </c>
      <c r="C4710" t="s">
        <v>202</v>
      </c>
      <c r="E4710" t="s">
        <v>2428</v>
      </c>
      <c r="F4710">
        <v>3373</v>
      </c>
      <c r="G4710" t="s">
        <v>2429</v>
      </c>
      <c r="H4710" t="s">
        <v>16</v>
      </c>
      <c r="I4710" t="s">
        <v>608</v>
      </c>
      <c r="J4710" t="s">
        <v>609</v>
      </c>
      <c r="K4710" t="s">
        <v>1809</v>
      </c>
      <c r="L4710" t="str">
        <f>HYPERLINK("https://business-monitor.ch/de/companies/253931-aerni-und-waelchli-gmbh?utm_source=oberaargau","PROFIL ANSEHEN")</f>
        <v>PROFIL ANSEHEN</v>
      </c>
    </row>
    <row r="4711" spans="1:12" x14ac:dyDescent="0.2">
      <c r="A4711" t="s">
        <v>10569</v>
      </c>
      <c r="B4711" t="s">
        <v>10570</v>
      </c>
      <c r="C4711" t="s">
        <v>202</v>
      </c>
      <c r="E4711" t="s">
        <v>7358</v>
      </c>
      <c r="F4711">
        <v>4914</v>
      </c>
      <c r="G4711" t="s">
        <v>105</v>
      </c>
      <c r="H4711" t="s">
        <v>16</v>
      </c>
      <c r="I4711" t="s">
        <v>9750</v>
      </c>
      <c r="J4711" t="s">
        <v>9751</v>
      </c>
      <c r="K4711" t="s">
        <v>1809</v>
      </c>
      <c r="L4711" t="str">
        <f>HYPERLINK("https://business-monitor.ch/de/companies/30621-gruetter-gmbh-hufschmiede-und-metallbau?utm_source=oberaargau","PROFIL ANSEHEN")</f>
        <v>PROFIL ANSEHEN</v>
      </c>
    </row>
    <row r="4712" spans="1:12" x14ac:dyDescent="0.2">
      <c r="A4712" t="s">
        <v>5239</v>
      </c>
      <c r="B4712" t="s">
        <v>5240</v>
      </c>
      <c r="C4712" t="s">
        <v>1812</v>
      </c>
      <c r="E4712" t="s">
        <v>5241</v>
      </c>
      <c r="F4712">
        <v>4950</v>
      </c>
      <c r="G4712" t="s">
        <v>15</v>
      </c>
      <c r="H4712" t="s">
        <v>16</v>
      </c>
      <c r="I4712" t="s">
        <v>2665</v>
      </c>
      <c r="J4712" t="s">
        <v>2666</v>
      </c>
      <c r="K4712" t="s">
        <v>1809</v>
      </c>
      <c r="L4712" t="str">
        <f>HYPERLINK("https://business-monitor.ch/de/companies/177537-apk-walter-urech-dialogmarketing?utm_source=oberaargau","PROFIL ANSEHEN")</f>
        <v>PROFIL ANSEHEN</v>
      </c>
    </row>
    <row r="4713" spans="1:12" x14ac:dyDescent="0.2">
      <c r="A4713" t="s">
        <v>5652</v>
      </c>
      <c r="B4713" t="s">
        <v>5653</v>
      </c>
      <c r="C4713" t="s">
        <v>202</v>
      </c>
      <c r="E4713" t="s">
        <v>3151</v>
      </c>
      <c r="F4713">
        <v>4922</v>
      </c>
      <c r="G4713" t="s">
        <v>99</v>
      </c>
      <c r="H4713" t="s">
        <v>16</v>
      </c>
      <c r="I4713" t="s">
        <v>175</v>
      </c>
      <c r="J4713" t="s">
        <v>176</v>
      </c>
      <c r="K4713" t="s">
        <v>1809</v>
      </c>
      <c r="L4713" t="str">
        <f>HYPERLINK("https://business-monitor.ch/de/companies/270967-crespo-classic-cars-ch-gmbh?utm_source=oberaargau","PROFIL ANSEHEN")</f>
        <v>PROFIL ANSEHEN</v>
      </c>
    </row>
    <row r="4714" spans="1:12" x14ac:dyDescent="0.2">
      <c r="A4714" t="s">
        <v>3032</v>
      </c>
      <c r="B4714" t="s">
        <v>3033</v>
      </c>
      <c r="C4714" t="s">
        <v>202</v>
      </c>
      <c r="E4714" t="s">
        <v>3034</v>
      </c>
      <c r="F4714">
        <v>3360</v>
      </c>
      <c r="G4714" t="s">
        <v>35</v>
      </c>
      <c r="H4714" t="s">
        <v>16</v>
      </c>
      <c r="I4714" t="s">
        <v>997</v>
      </c>
      <c r="J4714" t="s">
        <v>998</v>
      </c>
      <c r="K4714" t="s">
        <v>1809</v>
      </c>
      <c r="L4714" t="str">
        <f>HYPERLINK("https://business-monitor.ch/de/companies/295888-scooterama-gmbh?utm_source=oberaargau","PROFIL ANSEHEN")</f>
        <v>PROFIL ANSEHEN</v>
      </c>
    </row>
    <row r="4715" spans="1:12" x14ac:dyDescent="0.2">
      <c r="A4715" t="s">
        <v>8561</v>
      </c>
      <c r="B4715" t="s">
        <v>8562</v>
      </c>
      <c r="C4715" t="s">
        <v>202</v>
      </c>
      <c r="E4715" t="s">
        <v>8563</v>
      </c>
      <c r="F4715">
        <v>4900</v>
      </c>
      <c r="G4715" t="s">
        <v>41</v>
      </c>
      <c r="H4715" t="s">
        <v>16</v>
      </c>
      <c r="I4715" t="s">
        <v>642</v>
      </c>
      <c r="J4715" t="s">
        <v>643</v>
      </c>
      <c r="K4715" t="s">
        <v>1809</v>
      </c>
      <c r="L4715" t="str">
        <f>HYPERLINK("https://business-monitor.ch/de/companies/485037-toni-oetterli-gmbh?utm_source=oberaargau","PROFIL ANSEHEN")</f>
        <v>PROFIL ANSEHEN</v>
      </c>
    </row>
    <row r="4716" spans="1:12" x14ac:dyDescent="0.2">
      <c r="A4716" t="s">
        <v>11674</v>
      </c>
      <c r="B4716" t="s">
        <v>11675</v>
      </c>
      <c r="C4716" t="s">
        <v>1812</v>
      </c>
      <c r="E4716" t="s">
        <v>4108</v>
      </c>
      <c r="F4716">
        <v>4537</v>
      </c>
      <c r="G4716" t="s">
        <v>113</v>
      </c>
      <c r="H4716" t="s">
        <v>16</v>
      </c>
      <c r="I4716" t="s">
        <v>4205</v>
      </c>
      <c r="J4716" t="s">
        <v>4206</v>
      </c>
      <c r="K4716" t="s">
        <v>1809</v>
      </c>
      <c r="L4716" t="str">
        <f>HYPERLINK("https://business-monitor.ch/de/companies/1163229-rk-kiosk-shop-mahadevan?utm_source=oberaargau","PROFIL ANSEHEN")</f>
        <v>PROFIL ANSEHEN</v>
      </c>
    </row>
    <row r="4717" spans="1:12" x14ac:dyDescent="0.2">
      <c r="A4717" t="s">
        <v>12946</v>
      </c>
      <c r="B4717" t="s">
        <v>12947</v>
      </c>
      <c r="C4717" t="s">
        <v>13</v>
      </c>
      <c r="E4717" t="s">
        <v>4144</v>
      </c>
      <c r="F4717">
        <v>4704</v>
      </c>
      <c r="G4717" t="s">
        <v>221</v>
      </c>
      <c r="H4717" t="s">
        <v>16</v>
      </c>
      <c r="I4717" t="s">
        <v>551</v>
      </c>
      <c r="J4717" t="s">
        <v>552</v>
      </c>
      <c r="K4717" t="s">
        <v>1809</v>
      </c>
      <c r="L4717" t="str">
        <f>HYPERLINK("https://business-monitor.ch/de/companies/495896-sinovation-ag?utm_source=oberaargau","PROFIL ANSEHEN")</f>
        <v>PROFIL ANSEHEN</v>
      </c>
    </row>
    <row r="4718" spans="1:12" x14ac:dyDescent="0.2">
      <c r="A4718" t="s">
        <v>10395</v>
      </c>
      <c r="B4718" t="s">
        <v>10396</v>
      </c>
      <c r="C4718" t="s">
        <v>202</v>
      </c>
      <c r="E4718" t="s">
        <v>10397</v>
      </c>
      <c r="F4718">
        <v>3375</v>
      </c>
      <c r="G4718" t="s">
        <v>667</v>
      </c>
      <c r="H4718" t="s">
        <v>16</v>
      </c>
      <c r="I4718" t="s">
        <v>10398</v>
      </c>
      <c r="J4718" t="s">
        <v>10399</v>
      </c>
      <c r="K4718" t="s">
        <v>1809</v>
      </c>
      <c r="L4718" t="str">
        <f>HYPERLINK("https://business-monitor.ch/de/companies/363875-retis-gebaeudemanagement-gmbh?utm_source=oberaargau","PROFIL ANSEHEN")</f>
        <v>PROFIL ANSEHEN</v>
      </c>
    </row>
    <row r="4719" spans="1:12" x14ac:dyDescent="0.2">
      <c r="A4719" t="s">
        <v>11878</v>
      </c>
      <c r="B4719" t="s">
        <v>11879</v>
      </c>
      <c r="C4719" t="s">
        <v>202</v>
      </c>
      <c r="E4719" t="s">
        <v>2169</v>
      </c>
      <c r="F4719">
        <v>3360</v>
      </c>
      <c r="G4719" t="s">
        <v>35</v>
      </c>
      <c r="H4719" t="s">
        <v>16</v>
      </c>
      <c r="I4719" t="s">
        <v>1855</v>
      </c>
      <c r="J4719" t="s">
        <v>1856</v>
      </c>
      <c r="K4719" t="s">
        <v>1809</v>
      </c>
      <c r="L4719" t="str">
        <f>HYPERLINK("https://business-monitor.ch/de/companies/1166328-amena-beauty-gmbh?utm_source=oberaargau","PROFIL ANSEHEN")</f>
        <v>PROFIL ANSEHEN</v>
      </c>
    </row>
    <row r="4720" spans="1:12" x14ac:dyDescent="0.2">
      <c r="A4720" t="s">
        <v>9701</v>
      </c>
      <c r="B4720" t="s">
        <v>9702</v>
      </c>
      <c r="C4720" t="s">
        <v>202</v>
      </c>
      <c r="E4720" t="s">
        <v>2867</v>
      </c>
      <c r="F4720">
        <v>4536</v>
      </c>
      <c r="G4720" t="s">
        <v>1395</v>
      </c>
      <c r="H4720" t="s">
        <v>16</v>
      </c>
      <c r="I4720" t="s">
        <v>48</v>
      </c>
      <c r="J4720" t="s">
        <v>49</v>
      </c>
      <c r="K4720" t="s">
        <v>1809</v>
      </c>
      <c r="L4720" t="str">
        <f>HYPERLINK("https://business-monitor.ch/de/companies/1048621-ivan-felber-gmbh?utm_source=oberaargau","PROFIL ANSEHEN")</f>
        <v>PROFIL ANSEHEN</v>
      </c>
    </row>
    <row r="4721" spans="1:12" x14ac:dyDescent="0.2">
      <c r="A4721" t="s">
        <v>7657</v>
      </c>
      <c r="B4721" t="s">
        <v>7658</v>
      </c>
      <c r="C4721" t="s">
        <v>1812</v>
      </c>
      <c r="E4721" t="s">
        <v>7659</v>
      </c>
      <c r="F4721">
        <v>4955</v>
      </c>
      <c r="G4721" t="s">
        <v>684</v>
      </c>
      <c r="H4721" t="s">
        <v>16</v>
      </c>
      <c r="I4721" t="s">
        <v>1998</v>
      </c>
      <c r="J4721" t="s">
        <v>1999</v>
      </c>
      <c r="K4721" t="s">
        <v>1809</v>
      </c>
      <c r="L4721" t="str">
        <f>HYPERLINK("https://business-monitor.ch/de/companies/634161-dorfladen-gondiswil-schaerli-theres?utm_source=oberaargau","PROFIL ANSEHEN")</f>
        <v>PROFIL ANSEHEN</v>
      </c>
    </row>
    <row r="4722" spans="1:12" x14ac:dyDescent="0.2">
      <c r="A4722" t="s">
        <v>2874</v>
      </c>
      <c r="B4722" t="s">
        <v>2875</v>
      </c>
      <c r="C4722" t="s">
        <v>13</v>
      </c>
      <c r="E4722" t="s">
        <v>2159</v>
      </c>
      <c r="F4722">
        <v>3380</v>
      </c>
      <c r="G4722" t="s">
        <v>29</v>
      </c>
      <c r="H4722" t="s">
        <v>16</v>
      </c>
      <c r="I4722" t="s">
        <v>935</v>
      </c>
      <c r="J4722" t="s">
        <v>936</v>
      </c>
      <c r="K4722" t="s">
        <v>1809</v>
      </c>
      <c r="L4722" t="str">
        <f>HYPERLINK("https://business-monitor.ch/de/companies/673048-pb-immobilien-ag?utm_source=oberaargau","PROFIL ANSEHEN")</f>
        <v>PROFIL ANSEHEN</v>
      </c>
    </row>
    <row r="4723" spans="1:12" x14ac:dyDescent="0.2">
      <c r="A4723" t="s">
        <v>3014</v>
      </c>
      <c r="B4723" t="s">
        <v>3015</v>
      </c>
      <c r="C4723" t="s">
        <v>202</v>
      </c>
      <c r="E4723" t="s">
        <v>1552</v>
      </c>
      <c r="F4723">
        <v>4704</v>
      </c>
      <c r="G4723" t="s">
        <v>221</v>
      </c>
      <c r="H4723" t="s">
        <v>16</v>
      </c>
      <c r="I4723" t="s">
        <v>3016</v>
      </c>
      <c r="J4723" t="s">
        <v>3017</v>
      </c>
      <c r="K4723" t="s">
        <v>1809</v>
      </c>
      <c r="L4723" t="str">
        <f>HYPERLINK("https://business-monitor.ch/de/companies/551388-op-hygiene-ip-gmbh?utm_source=oberaargau","PROFIL ANSEHEN")</f>
        <v>PROFIL ANSEHEN</v>
      </c>
    </row>
    <row r="4724" spans="1:12" x14ac:dyDescent="0.2">
      <c r="A4724" t="s">
        <v>952</v>
      </c>
      <c r="B4724" t="s">
        <v>3519</v>
      </c>
      <c r="C4724" t="s">
        <v>13</v>
      </c>
      <c r="E4724" t="s">
        <v>5975</v>
      </c>
      <c r="F4724">
        <v>4938</v>
      </c>
      <c r="G4724" t="s">
        <v>618</v>
      </c>
      <c r="H4724" t="s">
        <v>16</v>
      </c>
      <c r="I4724" t="s">
        <v>642</v>
      </c>
      <c r="J4724" t="s">
        <v>643</v>
      </c>
      <c r="K4724" t="s">
        <v>1809</v>
      </c>
      <c r="L4724" t="str">
        <f>HYPERLINK("https://business-monitor.ch/de/companies/155925-garage-fuhrer-ag?utm_source=oberaargau","PROFIL ANSEHEN")</f>
        <v>PROFIL ANSEHEN</v>
      </c>
    </row>
    <row r="4725" spans="1:12" x14ac:dyDescent="0.2">
      <c r="A4725" t="s">
        <v>12443</v>
      </c>
      <c r="B4725" t="s">
        <v>12444</v>
      </c>
      <c r="C4725" t="s">
        <v>202</v>
      </c>
      <c r="D4725" t="s">
        <v>12445</v>
      </c>
      <c r="E4725" t="s">
        <v>12446</v>
      </c>
      <c r="F4725">
        <v>4900</v>
      </c>
      <c r="G4725" t="s">
        <v>41</v>
      </c>
      <c r="H4725" t="s">
        <v>16</v>
      </c>
      <c r="I4725" t="s">
        <v>772</v>
      </c>
      <c r="J4725" t="s">
        <v>773</v>
      </c>
      <c r="K4725" t="s">
        <v>1809</v>
      </c>
      <c r="L4725" t="str">
        <f>HYPERLINK("https://business-monitor.ch/de/companies/1190677-yes-dress-brautmode-gmbh?utm_source=oberaargau","PROFIL ANSEHEN")</f>
        <v>PROFIL ANSEHEN</v>
      </c>
    </row>
    <row r="4726" spans="1:12" x14ac:dyDescent="0.2">
      <c r="A4726" t="s">
        <v>2660</v>
      </c>
      <c r="B4726" t="s">
        <v>2661</v>
      </c>
      <c r="C4726" t="s">
        <v>202</v>
      </c>
      <c r="E4726" t="s">
        <v>4640</v>
      </c>
      <c r="F4726">
        <v>4900</v>
      </c>
      <c r="G4726" t="s">
        <v>41</v>
      </c>
      <c r="H4726" t="s">
        <v>16</v>
      </c>
      <c r="I4726" t="s">
        <v>1296</v>
      </c>
      <c r="J4726" t="s">
        <v>1297</v>
      </c>
      <c r="K4726" t="s">
        <v>1809</v>
      </c>
      <c r="L4726" t="str">
        <f>HYPERLINK("https://business-monitor.ch/de/companies/479580-xseh-gmbh?utm_source=oberaargau","PROFIL ANSEHEN")</f>
        <v>PROFIL ANSEHEN</v>
      </c>
    </row>
    <row r="4727" spans="1:12" x14ac:dyDescent="0.2">
      <c r="A4727" t="s">
        <v>8487</v>
      </c>
      <c r="B4727" t="s">
        <v>8488</v>
      </c>
      <c r="C4727" t="s">
        <v>202</v>
      </c>
      <c r="E4727" t="s">
        <v>8489</v>
      </c>
      <c r="F4727">
        <v>4900</v>
      </c>
      <c r="G4727" t="s">
        <v>41</v>
      </c>
      <c r="H4727" t="s">
        <v>16</v>
      </c>
      <c r="I4727" t="s">
        <v>551</v>
      </c>
      <c r="J4727" t="s">
        <v>552</v>
      </c>
      <c r="K4727" t="s">
        <v>1809</v>
      </c>
      <c r="L4727" t="str">
        <f>HYPERLINK("https://business-monitor.ch/de/companies/512745-irb-business-development-gmbh?utm_source=oberaargau","PROFIL ANSEHEN")</f>
        <v>PROFIL ANSEHEN</v>
      </c>
    </row>
    <row r="4728" spans="1:12" x14ac:dyDescent="0.2">
      <c r="A4728" t="s">
        <v>8354</v>
      </c>
      <c r="B4728" t="s">
        <v>8355</v>
      </c>
      <c r="C4728" t="s">
        <v>13</v>
      </c>
      <c r="F4728">
        <v>3368</v>
      </c>
      <c r="G4728" t="s">
        <v>308</v>
      </c>
      <c r="H4728" t="s">
        <v>16</v>
      </c>
      <c r="I4728" t="s">
        <v>1656</v>
      </c>
      <c r="J4728" t="s">
        <v>1657</v>
      </c>
      <c r="K4728" t="s">
        <v>1809</v>
      </c>
      <c r="L4728" t="str">
        <f>HYPERLINK("https://business-monitor.ch/de/companies/204648-airla-flugzeugservice-ag?utm_source=oberaargau","PROFIL ANSEHEN")</f>
        <v>PROFIL ANSEHEN</v>
      </c>
    </row>
    <row r="4729" spans="1:12" x14ac:dyDescent="0.2">
      <c r="A4729" t="s">
        <v>12044</v>
      </c>
      <c r="B4729" t="s">
        <v>12045</v>
      </c>
      <c r="C4729" t="s">
        <v>1812</v>
      </c>
      <c r="E4729" t="s">
        <v>4405</v>
      </c>
      <c r="F4729">
        <v>4537</v>
      </c>
      <c r="G4729" t="s">
        <v>113</v>
      </c>
      <c r="H4729" t="s">
        <v>16</v>
      </c>
      <c r="I4729" t="s">
        <v>2293</v>
      </c>
      <c r="J4729" t="s">
        <v>2294</v>
      </c>
      <c r="K4729" t="s">
        <v>1809</v>
      </c>
      <c r="L4729" t="str">
        <f>HYPERLINK("https://business-monitor.ch/de/companies/589271-crazy-corals-hornboeck?utm_source=oberaargau","PROFIL ANSEHEN")</f>
        <v>PROFIL ANSEHEN</v>
      </c>
    </row>
    <row r="4730" spans="1:12" x14ac:dyDescent="0.2">
      <c r="A4730" t="s">
        <v>10372</v>
      </c>
      <c r="B4730" t="s">
        <v>10373</v>
      </c>
      <c r="C4730" t="s">
        <v>13</v>
      </c>
      <c r="E4730" t="s">
        <v>10374</v>
      </c>
      <c r="F4730">
        <v>4704</v>
      </c>
      <c r="G4730" t="s">
        <v>221</v>
      </c>
      <c r="H4730" t="s">
        <v>16</v>
      </c>
      <c r="I4730" t="s">
        <v>191</v>
      </c>
      <c r="J4730" t="s">
        <v>192</v>
      </c>
      <c r="K4730" t="s">
        <v>1809</v>
      </c>
      <c r="L4730" t="str">
        <f>HYPERLINK("https://business-monitor.ch/de/companies/528052-speriwa-ag?utm_source=oberaargau","PROFIL ANSEHEN")</f>
        <v>PROFIL ANSEHEN</v>
      </c>
    </row>
    <row r="4731" spans="1:12" x14ac:dyDescent="0.2">
      <c r="A4731" t="s">
        <v>7237</v>
      </c>
      <c r="B4731" t="s">
        <v>7238</v>
      </c>
      <c r="C4731" t="s">
        <v>202</v>
      </c>
      <c r="E4731" t="s">
        <v>7239</v>
      </c>
      <c r="F4731">
        <v>4955</v>
      </c>
      <c r="G4731" t="s">
        <v>684</v>
      </c>
      <c r="H4731" t="s">
        <v>16</v>
      </c>
      <c r="I4731" t="s">
        <v>2897</v>
      </c>
      <c r="J4731" t="s">
        <v>2898</v>
      </c>
      <c r="K4731" t="s">
        <v>1809</v>
      </c>
      <c r="L4731" t="str">
        <f>HYPERLINK("https://business-monitor.ch/de/companies/1025586-presserteam-gmbh?utm_source=oberaargau","PROFIL ANSEHEN")</f>
        <v>PROFIL ANSEHEN</v>
      </c>
    </row>
    <row r="4732" spans="1:12" x14ac:dyDescent="0.2">
      <c r="A4732" t="s">
        <v>4854</v>
      </c>
      <c r="B4732" t="s">
        <v>4855</v>
      </c>
      <c r="C4732" t="s">
        <v>202</v>
      </c>
      <c r="D4732" t="s">
        <v>4856</v>
      </c>
      <c r="E4732" t="s">
        <v>4857</v>
      </c>
      <c r="F4732">
        <v>4900</v>
      </c>
      <c r="G4732" t="s">
        <v>41</v>
      </c>
      <c r="H4732" t="s">
        <v>16</v>
      </c>
      <c r="I4732" t="s">
        <v>232</v>
      </c>
      <c r="J4732" t="s">
        <v>233</v>
      </c>
      <c r="K4732" t="s">
        <v>1809</v>
      </c>
      <c r="L4732" t="str">
        <f>HYPERLINK("https://business-monitor.ch/de/companies/534152-rdn-consult-gmbh?utm_source=oberaargau","PROFIL ANSEHEN")</f>
        <v>PROFIL ANSEHEN</v>
      </c>
    </row>
    <row r="4733" spans="1:12" x14ac:dyDescent="0.2">
      <c r="A4733" t="s">
        <v>4780</v>
      </c>
      <c r="B4733" t="s">
        <v>4781</v>
      </c>
      <c r="C4733" t="s">
        <v>13</v>
      </c>
      <c r="E4733" t="s">
        <v>3185</v>
      </c>
      <c r="F4733">
        <v>4900</v>
      </c>
      <c r="G4733" t="s">
        <v>41</v>
      </c>
      <c r="H4733" t="s">
        <v>16</v>
      </c>
      <c r="I4733" t="s">
        <v>4782</v>
      </c>
      <c r="J4733" t="s">
        <v>4783</v>
      </c>
      <c r="K4733" t="s">
        <v>1809</v>
      </c>
      <c r="L4733" t="str">
        <f>HYPERLINK("https://business-monitor.ch/de/companies/564241-adam-orthopaedie-schuhtechnik-ag?utm_source=oberaargau","PROFIL ANSEHEN")</f>
        <v>PROFIL ANSEHEN</v>
      </c>
    </row>
    <row r="4734" spans="1:12" x14ac:dyDescent="0.2">
      <c r="A4734" t="s">
        <v>10328</v>
      </c>
      <c r="B4734" t="s">
        <v>10329</v>
      </c>
      <c r="C4734" t="s">
        <v>1812</v>
      </c>
      <c r="E4734" t="s">
        <v>10330</v>
      </c>
      <c r="F4734">
        <v>3380</v>
      </c>
      <c r="G4734" t="s">
        <v>29</v>
      </c>
      <c r="H4734" t="s">
        <v>16</v>
      </c>
      <c r="I4734" t="s">
        <v>1936</v>
      </c>
      <c r="J4734" t="s">
        <v>1937</v>
      </c>
      <c r="K4734" t="s">
        <v>1809</v>
      </c>
      <c r="L4734" t="str">
        <f>HYPERLINK("https://business-monitor.ch/de/companies/549052-b-stempfle-pharma-consulting?utm_source=oberaargau","PROFIL ANSEHEN")</f>
        <v>PROFIL ANSEHEN</v>
      </c>
    </row>
    <row r="4735" spans="1:12" x14ac:dyDescent="0.2">
      <c r="A4735" t="s">
        <v>8666</v>
      </c>
      <c r="B4735" t="s">
        <v>8667</v>
      </c>
      <c r="C4735" t="s">
        <v>13</v>
      </c>
      <c r="E4735" t="s">
        <v>964</v>
      </c>
      <c r="F4735">
        <v>3475</v>
      </c>
      <c r="G4735" t="s">
        <v>965</v>
      </c>
      <c r="H4735" t="s">
        <v>16</v>
      </c>
      <c r="I4735" t="s">
        <v>1319</v>
      </c>
      <c r="J4735" t="s">
        <v>1320</v>
      </c>
      <c r="K4735" t="s">
        <v>1809</v>
      </c>
      <c r="L4735" t="str">
        <f>HYPERLINK("https://business-monitor.ch/de/companies/515036-logically-bs-ag?utm_source=oberaargau","PROFIL ANSEHEN")</f>
        <v>PROFIL ANSEHEN</v>
      </c>
    </row>
    <row r="4736" spans="1:12" x14ac:dyDescent="0.2">
      <c r="A4736" t="s">
        <v>4704</v>
      </c>
      <c r="B4736" t="s">
        <v>699</v>
      </c>
      <c r="C4736" t="s">
        <v>2178</v>
      </c>
      <c r="E4736" t="s">
        <v>4705</v>
      </c>
      <c r="F4736">
        <v>4952</v>
      </c>
      <c r="G4736" t="s">
        <v>474</v>
      </c>
      <c r="H4736" t="s">
        <v>16</v>
      </c>
      <c r="I4736" t="s">
        <v>134</v>
      </c>
      <c r="J4736" t="s">
        <v>135</v>
      </c>
      <c r="K4736" t="s">
        <v>1809</v>
      </c>
      <c r="L4736" t="str">
        <f>HYPERLINK("https://business-monitor.ch/de/companies/599550-schulze-elektro-ag?utm_source=oberaargau","PROFIL ANSEHEN")</f>
        <v>PROFIL ANSEHEN</v>
      </c>
    </row>
    <row r="4737" spans="1:12" x14ac:dyDescent="0.2">
      <c r="A4737" t="s">
        <v>10283</v>
      </c>
      <c r="B4737" t="s">
        <v>10284</v>
      </c>
      <c r="C4737" t="s">
        <v>202</v>
      </c>
      <c r="D4737" t="s">
        <v>10285</v>
      </c>
      <c r="E4737" t="s">
        <v>10286</v>
      </c>
      <c r="F4737">
        <v>4922</v>
      </c>
      <c r="G4737" t="s">
        <v>1318</v>
      </c>
      <c r="H4737" t="s">
        <v>16</v>
      </c>
      <c r="I4737" t="s">
        <v>2587</v>
      </c>
      <c r="J4737" t="s">
        <v>2588</v>
      </c>
      <c r="K4737" t="s">
        <v>1809</v>
      </c>
      <c r="L4737" t="str">
        <f>HYPERLINK("https://business-monitor.ch/de/companies/571439-black-oak-gmbh?utm_source=oberaargau","PROFIL ANSEHEN")</f>
        <v>PROFIL ANSEHEN</v>
      </c>
    </row>
    <row r="4738" spans="1:12" x14ac:dyDescent="0.2">
      <c r="A4738" t="s">
        <v>7044</v>
      </c>
      <c r="B4738" t="s">
        <v>7045</v>
      </c>
      <c r="C4738" t="s">
        <v>202</v>
      </c>
      <c r="E4738" t="s">
        <v>13688</v>
      </c>
      <c r="F4738">
        <v>4539</v>
      </c>
      <c r="G4738" t="s">
        <v>23</v>
      </c>
      <c r="H4738" t="s">
        <v>16</v>
      </c>
      <c r="I4738" t="s">
        <v>7046</v>
      </c>
      <c r="J4738" t="s">
        <v>7047</v>
      </c>
      <c r="K4738" t="s">
        <v>1809</v>
      </c>
      <c r="L4738" t="str">
        <f>HYPERLINK("https://business-monitor.ch/de/companies/571251-fahr-shuttle-service-mittelland-gmbh?utm_source=oberaargau","PROFIL ANSEHEN")</f>
        <v>PROFIL ANSEHEN</v>
      </c>
    </row>
    <row r="4739" spans="1:12" x14ac:dyDescent="0.2">
      <c r="A4739" t="s">
        <v>9468</v>
      </c>
      <c r="B4739" t="s">
        <v>9469</v>
      </c>
      <c r="C4739" t="s">
        <v>13</v>
      </c>
      <c r="D4739" t="s">
        <v>1703</v>
      </c>
      <c r="E4739" t="s">
        <v>407</v>
      </c>
      <c r="F4739">
        <v>4538</v>
      </c>
      <c r="G4739" t="s">
        <v>71</v>
      </c>
      <c r="H4739" t="s">
        <v>16</v>
      </c>
      <c r="I4739" t="s">
        <v>186</v>
      </c>
      <c r="J4739" t="s">
        <v>187</v>
      </c>
      <c r="K4739" t="s">
        <v>1809</v>
      </c>
      <c r="L4739" t="str">
        <f>HYPERLINK("https://business-monitor.ch/de/companies/656503-medtec-holding-ag?utm_source=oberaargau","PROFIL ANSEHEN")</f>
        <v>PROFIL ANSEHEN</v>
      </c>
    </row>
    <row r="4740" spans="1:12" x14ac:dyDescent="0.2">
      <c r="A4740" t="s">
        <v>5911</v>
      </c>
      <c r="B4740" t="s">
        <v>5912</v>
      </c>
      <c r="C4740" t="s">
        <v>202</v>
      </c>
      <c r="E4740" t="s">
        <v>10790</v>
      </c>
      <c r="F4740">
        <v>4900</v>
      </c>
      <c r="G4740" t="s">
        <v>41</v>
      </c>
      <c r="H4740" t="s">
        <v>16</v>
      </c>
      <c r="I4740" t="s">
        <v>3072</v>
      </c>
      <c r="J4740" t="s">
        <v>3073</v>
      </c>
      <c r="K4740" t="s">
        <v>1809</v>
      </c>
      <c r="L4740" t="str">
        <f>HYPERLINK("https://business-monitor.ch/de/companies/492573-pluesch-kinderreich-gmbh?utm_source=oberaargau","PROFIL ANSEHEN")</f>
        <v>PROFIL ANSEHEN</v>
      </c>
    </row>
    <row r="4741" spans="1:12" x14ac:dyDescent="0.2">
      <c r="A4741" t="s">
        <v>8499</v>
      </c>
      <c r="B4741" t="s">
        <v>8500</v>
      </c>
      <c r="C4741" t="s">
        <v>1812</v>
      </c>
      <c r="E4741" t="s">
        <v>8501</v>
      </c>
      <c r="F4741">
        <v>3365</v>
      </c>
      <c r="G4741" t="s">
        <v>1008</v>
      </c>
      <c r="H4741" t="s">
        <v>16</v>
      </c>
      <c r="I4741" t="s">
        <v>2433</v>
      </c>
      <c r="J4741" t="s">
        <v>2434</v>
      </c>
      <c r="K4741" t="s">
        <v>1809</v>
      </c>
      <c r="L4741" t="str">
        <f>HYPERLINK("https://business-monitor.ch/de/companies/511364-simons-stotz-sustainable-practices?utm_source=oberaargau","PROFIL ANSEHEN")</f>
        <v>PROFIL ANSEHEN</v>
      </c>
    </row>
    <row r="4742" spans="1:12" x14ac:dyDescent="0.2">
      <c r="A4742" t="s">
        <v>10464</v>
      </c>
      <c r="B4742" t="s">
        <v>10465</v>
      </c>
      <c r="C4742" t="s">
        <v>1812</v>
      </c>
      <c r="E4742" t="s">
        <v>14679</v>
      </c>
      <c r="F4742">
        <v>4900</v>
      </c>
      <c r="G4742" t="s">
        <v>41</v>
      </c>
      <c r="H4742" t="s">
        <v>16</v>
      </c>
      <c r="I4742" t="s">
        <v>1860</v>
      </c>
      <c r="J4742" t="s">
        <v>1861</v>
      </c>
      <c r="K4742" t="s">
        <v>1809</v>
      </c>
      <c r="L4742" t="str">
        <f>HYPERLINK("https://business-monitor.ch/de/companies/505699-hair-energy-franziska-rieder?utm_source=oberaargau","PROFIL ANSEHEN")</f>
        <v>PROFIL ANSEHEN</v>
      </c>
    </row>
    <row r="4743" spans="1:12" x14ac:dyDescent="0.2">
      <c r="A4743" t="s">
        <v>4825</v>
      </c>
      <c r="B4743" t="s">
        <v>4826</v>
      </c>
      <c r="C4743" t="s">
        <v>1812</v>
      </c>
      <c r="E4743" t="s">
        <v>4827</v>
      </c>
      <c r="F4743">
        <v>4900</v>
      </c>
      <c r="G4743" t="s">
        <v>41</v>
      </c>
      <c r="H4743" t="s">
        <v>16</v>
      </c>
      <c r="I4743" t="s">
        <v>642</v>
      </c>
      <c r="J4743" t="s">
        <v>643</v>
      </c>
      <c r="K4743" t="s">
        <v>1809</v>
      </c>
      <c r="L4743" t="str">
        <f>HYPERLINK("https://business-monitor.ch/de/companies/546266-stanojevic-auto-dine?utm_source=oberaargau","PROFIL ANSEHEN")</f>
        <v>PROFIL ANSEHEN</v>
      </c>
    </row>
    <row r="4744" spans="1:12" x14ac:dyDescent="0.2">
      <c r="A4744" t="s">
        <v>4791</v>
      </c>
      <c r="B4744" t="s">
        <v>4792</v>
      </c>
      <c r="C4744" t="s">
        <v>1812</v>
      </c>
      <c r="E4744" t="s">
        <v>4793</v>
      </c>
      <c r="F4744">
        <v>4937</v>
      </c>
      <c r="G4744" t="s">
        <v>951</v>
      </c>
      <c r="H4744" t="s">
        <v>16</v>
      </c>
      <c r="I4744" t="s">
        <v>4098</v>
      </c>
      <c r="J4744" t="s">
        <v>4099</v>
      </c>
      <c r="K4744" t="s">
        <v>1809</v>
      </c>
      <c r="L4744" t="str">
        <f>HYPERLINK("https://business-monitor.ch/de/companies/559962-boss-edition?utm_source=oberaargau","PROFIL ANSEHEN")</f>
        <v>PROFIL ANSEHEN</v>
      </c>
    </row>
    <row r="4745" spans="1:12" x14ac:dyDescent="0.2">
      <c r="A4745" t="s">
        <v>9657</v>
      </c>
      <c r="B4745" t="s">
        <v>9658</v>
      </c>
      <c r="C4745" t="s">
        <v>1812</v>
      </c>
      <c r="E4745" t="s">
        <v>5474</v>
      </c>
      <c r="F4745">
        <v>3366</v>
      </c>
      <c r="G4745" t="s">
        <v>728</v>
      </c>
      <c r="H4745" t="s">
        <v>16</v>
      </c>
      <c r="I4745" t="s">
        <v>1053</v>
      </c>
      <c r="J4745" t="s">
        <v>1054</v>
      </c>
      <c r="K4745" t="s">
        <v>1809</v>
      </c>
      <c r="L4745" t="str">
        <f>HYPERLINK("https://business-monitor.ch/de/companies/660308-provenance-elaine-valentin?utm_source=oberaargau","PROFIL ANSEHEN")</f>
        <v>PROFIL ANSEHEN</v>
      </c>
    </row>
    <row r="4746" spans="1:12" x14ac:dyDescent="0.2">
      <c r="A4746" t="s">
        <v>2857</v>
      </c>
      <c r="B4746" t="s">
        <v>2858</v>
      </c>
      <c r="C4746" t="s">
        <v>1812</v>
      </c>
      <c r="E4746" t="s">
        <v>2859</v>
      </c>
      <c r="F4746">
        <v>4704</v>
      </c>
      <c r="G4746" t="s">
        <v>221</v>
      </c>
      <c r="H4746" t="s">
        <v>16</v>
      </c>
      <c r="I4746" t="s">
        <v>2825</v>
      </c>
      <c r="J4746" t="s">
        <v>2826</v>
      </c>
      <c r="K4746" t="s">
        <v>1809</v>
      </c>
      <c r="L4746" t="str">
        <f>HYPERLINK("https://business-monitor.ch/de/companies/1068454-alpenplott-viola-borer?utm_source=oberaargau","PROFIL ANSEHEN")</f>
        <v>PROFIL ANSEHEN</v>
      </c>
    </row>
    <row r="4747" spans="1:12" x14ac:dyDescent="0.2">
      <c r="A4747" t="s">
        <v>11463</v>
      </c>
      <c r="B4747" t="s">
        <v>11464</v>
      </c>
      <c r="C4747" t="s">
        <v>1812</v>
      </c>
      <c r="E4747" t="s">
        <v>11465</v>
      </c>
      <c r="F4747">
        <v>3373</v>
      </c>
      <c r="G4747" t="s">
        <v>2429</v>
      </c>
      <c r="H4747" t="s">
        <v>16</v>
      </c>
      <c r="I4747" t="s">
        <v>6720</v>
      </c>
      <c r="J4747" t="s">
        <v>6721</v>
      </c>
      <c r="K4747" t="s">
        <v>1809</v>
      </c>
      <c r="L4747" t="str">
        <f>HYPERLINK("https://business-monitor.ch/de/companies/1148254-guel-handel?utm_source=oberaargau","PROFIL ANSEHEN")</f>
        <v>PROFIL ANSEHEN</v>
      </c>
    </row>
    <row r="4748" spans="1:12" x14ac:dyDescent="0.2">
      <c r="A4748" t="s">
        <v>11666</v>
      </c>
      <c r="B4748" t="s">
        <v>11667</v>
      </c>
      <c r="C4748" t="s">
        <v>202</v>
      </c>
      <c r="E4748" t="s">
        <v>3282</v>
      </c>
      <c r="F4748">
        <v>3367</v>
      </c>
      <c r="G4748" t="s">
        <v>455</v>
      </c>
      <c r="H4748" t="s">
        <v>16</v>
      </c>
      <c r="I4748" t="s">
        <v>1852</v>
      </c>
      <c r="J4748" t="s">
        <v>1853</v>
      </c>
      <c r="K4748" t="s">
        <v>1809</v>
      </c>
      <c r="L4748" t="str">
        <f>HYPERLINK("https://business-monitor.ch/de/companies/1159016-lh-swiss-gmbh?utm_source=oberaargau","PROFIL ANSEHEN")</f>
        <v>PROFIL ANSEHEN</v>
      </c>
    </row>
    <row r="4749" spans="1:12" x14ac:dyDescent="0.2">
      <c r="A4749" t="s">
        <v>4721</v>
      </c>
      <c r="B4749" t="s">
        <v>4722</v>
      </c>
      <c r="C4749" t="s">
        <v>13</v>
      </c>
      <c r="E4749" t="s">
        <v>4714</v>
      </c>
      <c r="F4749">
        <v>4900</v>
      </c>
      <c r="G4749" t="s">
        <v>41</v>
      </c>
      <c r="H4749" t="s">
        <v>16</v>
      </c>
      <c r="I4749" t="s">
        <v>232</v>
      </c>
      <c r="J4749" t="s">
        <v>233</v>
      </c>
      <c r="K4749" t="s">
        <v>1809</v>
      </c>
      <c r="L4749" t="str">
        <f>HYPERLINK("https://business-monitor.ch/de/companies/591174-hasler-glur-treuhand-ag?utm_source=oberaargau","PROFIL ANSEHEN")</f>
        <v>PROFIL ANSEHEN</v>
      </c>
    </row>
    <row r="4750" spans="1:12" x14ac:dyDescent="0.2">
      <c r="A4750" t="s">
        <v>4560</v>
      </c>
      <c r="B4750" t="s">
        <v>4561</v>
      </c>
      <c r="C4750" t="s">
        <v>13</v>
      </c>
      <c r="D4750" t="s">
        <v>4562</v>
      </c>
      <c r="E4750" t="s">
        <v>1190</v>
      </c>
      <c r="F4750">
        <v>4900</v>
      </c>
      <c r="G4750" t="s">
        <v>41</v>
      </c>
      <c r="H4750" t="s">
        <v>16</v>
      </c>
      <c r="I4750" t="s">
        <v>186</v>
      </c>
      <c r="J4750" t="s">
        <v>187</v>
      </c>
      <c r="K4750" t="s">
        <v>1809</v>
      </c>
      <c r="L4750" t="str">
        <f>HYPERLINK("https://business-monitor.ch/de/companies/654898-kawe-holding-ag?utm_source=oberaargau","PROFIL ANSEHEN")</f>
        <v>PROFIL ANSEHEN</v>
      </c>
    </row>
    <row r="4751" spans="1:12" x14ac:dyDescent="0.2">
      <c r="A4751" t="s">
        <v>11061</v>
      </c>
      <c r="B4751" t="s">
        <v>11062</v>
      </c>
      <c r="C4751" t="s">
        <v>1812</v>
      </c>
      <c r="E4751" t="s">
        <v>11063</v>
      </c>
      <c r="F4751">
        <v>4704</v>
      </c>
      <c r="G4751" t="s">
        <v>221</v>
      </c>
      <c r="H4751" t="s">
        <v>16</v>
      </c>
      <c r="I4751" t="s">
        <v>3861</v>
      </c>
      <c r="J4751" t="s">
        <v>3862</v>
      </c>
      <c r="K4751" t="s">
        <v>1809</v>
      </c>
      <c r="L4751" t="str">
        <f>HYPERLINK("https://business-monitor.ch/de/companies/1119735-phusila-thai-massage-inh-sopha-bieri?utm_source=oberaargau","PROFIL ANSEHEN")</f>
        <v>PROFIL ANSEHEN</v>
      </c>
    </row>
    <row r="4752" spans="1:12" x14ac:dyDescent="0.2">
      <c r="A4752" t="s">
        <v>8980</v>
      </c>
      <c r="B4752" t="s">
        <v>8981</v>
      </c>
      <c r="C4752" t="s">
        <v>202</v>
      </c>
      <c r="E4752" t="s">
        <v>8982</v>
      </c>
      <c r="F4752">
        <v>4950</v>
      </c>
      <c r="G4752" t="s">
        <v>15</v>
      </c>
      <c r="H4752" t="s">
        <v>16</v>
      </c>
      <c r="I4752" t="s">
        <v>2249</v>
      </c>
      <c r="J4752" t="s">
        <v>2250</v>
      </c>
      <c r="K4752" t="s">
        <v>1809</v>
      </c>
      <c r="L4752" t="str">
        <f>HYPERLINK("https://business-monitor.ch/de/companies/251025-stoeckl-eggimann-storen-gmbh?utm_source=oberaargau","PROFIL ANSEHEN")</f>
        <v>PROFIL ANSEHEN</v>
      </c>
    </row>
    <row r="4753" spans="1:12" x14ac:dyDescent="0.2">
      <c r="A4753" t="s">
        <v>7964</v>
      </c>
      <c r="B4753" t="s">
        <v>7965</v>
      </c>
      <c r="C4753" t="s">
        <v>1812</v>
      </c>
      <c r="E4753" t="s">
        <v>7966</v>
      </c>
      <c r="F4753">
        <v>3380</v>
      </c>
      <c r="G4753" t="s">
        <v>29</v>
      </c>
      <c r="H4753" t="s">
        <v>16</v>
      </c>
      <c r="I4753" t="s">
        <v>2569</v>
      </c>
      <c r="J4753" t="s">
        <v>2570</v>
      </c>
      <c r="K4753" t="s">
        <v>1809</v>
      </c>
      <c r="L4753" t="str">
        <f>HYPERLINK("https://business-monitor.ch/de/companies/341894-bon-vin-sigi-burkia?utm_source=oberaargau","PROFIL ANSEHEN")</f>
        <v>PROFIL ANSEHEN</v>
      </c>
    </row>
    <row r="4754" spans="1:12" x14ac:dyDescent="0.2">
      <c r="A4754" t="s">
        <v>11788</v>
      </c>
      <c r="B4754" t="s">
        <v>11789</v>
      </c>
      <c r="C4754" t="s">
        <v>202</v>
      </c>
      <c r="E4754" t="s">
        <v>4811</v>
      </c>
      <c r="F4754">
        <v>4900</v>
      </c>
      <c r="G4754" t="s">
        <v>41</v>
      </c>
      <c r="H4754" t="s">
        <v>16</v>
      </c>
      <c r="I4754" t="s">
        <v>1296</v>
      </c>
      <c r="J4754" t="s">
        <v>1297</v>
      </c>
      <c r="K4754" t="s">
        <v>1809</v>
      </c>
      <c r="L4754" t="str">
        <f>HYPERLINK("https://business-monitor.ch/de/companies/1154050-kundtun-gmbh?utm_source=oberaargau","PROFIL ANSEHEN")</f>
        <v>PROFIL ANSEHEN</v>
      </c>
    </row>
    <row r="4755" spans="1:12" x14ac:dyDescent="0.2">
      <c r="A4755" t="s">
        <v>7127</v>
      </c>
      <c r="B4755" t="s">
        <v>7128</v>
      </c>
      <c r="C4755" t="s">
        <v>202</v>
      </c>
      <c r="E4755" t="s">
        <v>2210</v>
      </c>
      <c r="F4755">
        <v>4900</v>
      </c>
      <c r="G4755" t="s">
        <v>41</v>
      </c>
      <c r="H4755" t="s">
        <v>16</v>
      </c>
      <c r="I4755" t="s">
        <v>2433</v>
      </c>
      <c r="J4755" t="s">
        <v>2434</v>
      </c>
      <c r="K4755" t="s">
        <v>1809</v>
      </c>
      <c r="L4755" t="str">
        <f>HYPERLINK("https://business-monitor.ch/de/companies/678015-s-o-research-gmbh?utm_source=oberaargau","PROFIL ANSEHEN")</f>
        <v>PROFIL ANSEHEN</v>
      </c>
    </row>
    <row r="4756" spans="1:12" x14ac:dyDescent="0.2">
      <c r="A4756" t="s">
        <v>9541</v>
      </c>
      <c r="B4756" t="s">
        <v>9542</v>
      </c>
      <c r="C4756" t="s">
        <v>13</v>
      </c>
      <c r="E4756" t="s">
        <v>9543</v>
      </c>
      <c r="F4756">
        <v>3360</v>
      </c>
      <c r="G4756" t="s">
        <v>35</v>
      </c>
      <c r="H4756" t="s">
        <v>16</v>
      </c>
      <c r="I4756" t="s">
        <v>4247</v>
      </c>
      <c r="J4756" t="s">
        <v>4248</v>
      </c>
      <c r="K4756" t="s">
        <v>1809</v>
      </c>
      <c r="L4756" t="str">
        <f>HYPERLINK("https://business-monitor.ch/de/companies/686696-hautarzt-oberaargau-ag?utm_source=oberaargau","PROFIL ANSEHEN")</f>
        <v>PROFIL ANSEHEN</v>
      </c>
    </row>
    <row r="4757" spans="1:12" x14ac:dyDescent="0.2">
      <c r="A4757" t="s">
        <v>7584</v>
      </c>
      <c r="B4757" t="s">
        <v>7585</v>
      </c>
      <c r="C4757" t="s">
        <v>202</v>
      </c>
      <c r="E4757" t="s">
        <v>7586</v>
      </c>
      <c r="F4757">
        <v>4933</v>
      </c>
      <c r="G4757" t="s">
        <v>3812</v>
      </c>
      <c r="H4757" t="s">
        <v>16</v>
      </c>
      <c r="I4757" t="s">
        <v>1324</v>
      </c>
      <c r="J4757" t="s">
        <v>1325</v>
      </c>
      <c r="K4757" t="s">
        <v>1809</v>
      </c>
      <c r="L4757" t="str">
        <f>HYPERLINK("https://business-monitor.ch/de/companies/681742-hunziker-montage-gmbh?utm_source=oberaargau","PROFIL ANSEHEN")</f>
        <v>PROFIL ANSEHEN</v>
      </c>
    </row>
    <row r="4758" spans="1:12" x14ac:dyDescent="0.2">
      <c r="A4758" t="s">
        <v>6254</v>
      </c>
      <c r="B4758" t="s">
        <v>6255</v>
      </c>
      <c r="C4758" t="s">
        <v>1812</v>
      </c>
      <c r="E4758" t="s">
        <v>6256</v>
      </c>
      <c r="F4758">
        <v>3360</v>
      </c>
      <c r="G4758" t="s">
        <v>35</v>
      </c>
      <c r="H4758" t="s">
        <v>16</v>
      </c>
      <c r="I4758" t="s">
        <v>2077</v>
      </c>
      <c r="J4758" t="s">
        <v>2078</v>
      </c>
      <c r="K4758" t="s">
        <v>1809</v>
      </c>
      <c r="L4758" t="str">
        <f>HYPERLINK("https://business-monitor.ch/de/companies/92724-firma-kropf?utm_source=oberaargau","PROFIL ANSEHEN")</f>
        <v>PROFIL ANSEHEN</v>
      </c>
    </row>
    <row r="4759" spans="1:12" x14ac:dyDescent="0.2">
      <c r="A4759" t="s">
        <v>2422</v>
      </c>
      <c r="B4759" t="s">
        <v>2423</v>
      </c>
      <c r="C4759" t="s">
        <v>1922</v>
      </c>
      <c r="E4759" t="s">
        <v>2424</v>
      </c>
      <c r="F4759">
        <v>4704</v>
      </c>
      <c r="G4759" t="s">
        <v>221</v>
      </c>
      <c r="H4759" t="s">
        <v>16</v>
      </c>
      <c r="I4759" t="s">
        <v>2397</v>
      </c>
      <c r="J4759" t="s">
        <v>2398</v>
      </c>
      <c r="K4759" t="s">
        <v>1809</v>
      </c>
      <c r="L4759" t="str">
        <f>HYPERLINK("https://business-monitor.ch/de/companies/9653-stiftung-alterswohnungen-deckergasse?utm_source=oberaargau","PROFIL ANSEHEN")</f>
        <v>PROFIL ANSEHEN</v>
      </c>
    </row>
    <row r="4760" spans="1:12" x14ac:dyDescent="0.2">
      <c r="A4760" t="s">
        <v>3692</v>
      </c>
      <c r="B4760" t="s">
        <v>3693</v>
      </c>
      <c r="C4760" t="s">
        <v>202</v>
      </c>
      <c r="D4760" t="s">
        <v>3694</v>
      </c>
      <c r="E4760" t="s">
        <v>3695</v>
      </c>
      <c r="F4760">
        <v>3366</v>
      </c>
      <c r="G4760" t="s">
        <v>728</v>
      </c>
      <c r="H4760" t="s">
        <v>16</v>
      </c>
      <c r="I4760" t="s">
        <v>1557</v>
      </c>
      <c r="J4760" t="s">
        <v>1558</v>
      </c>
      <c r="K4760" t="s">
        <v>1809</v>
      </c>
      <c r="L4760" t="str">
        <f>HYPERLINK("https://business-monitor.ch/de/companies/22571-newi-gmbh?utm_source=oberaargau","PROFIL ANSEHEN")</f>
        <v>PROFIL ANSEHEN</v>
      </c>
    </row>
    <row r="4761" spans="1:12" x14ac:dyDescent="0.2">
      <c r="A4761" t="s">
        <v>3676</v>
      </c>
      <c r="B4761" t="s">
        <v>3677</v>
      </c>
      <c r="C4761" t="s">
        <v>13</v>
      </c>
      <c r="E4761" t="s">
        <v>3678</v>
      </c>
      <c r="F4761">
        <v>4914</v>
      </c>
      <c r="G4761" t="s">
        <v>105</v>
      </c>
      <c r="H4761" t="s">
        <v>16</v>
      </c>
      <c r="I4761" t="s">
        <v>935</v>
      </c>
      <c r="J4761" t="s">
        <v>936</v>
      </c>
      <c r="K4761" t="s">
        <v>1809</v>
      </c>
      <c r="L4761" t="str">
        <f>HYPERLINK("https://business-monitor.ch/de/companies/30212-nb-immobilien-ag?utm_source=oberaargau","PROFIL ANSEHEN")</f>
        <v>PROFIL ANSEHEN</v>
      </c>
    </row>
    <row r="4762" spans="1:12" x14ac:dyDescent="0.2">
      <c r="A4762" t="s">
        <v>5537</v>
      </c>
      <c r="B4762" t="s">
        <v>5538</v>
      </c>
      <c r="C4762" t="s">
        <v>1812</v>
      </c>
      <c r="E4762" t="s">
        <v>5539</v>
      </c>
      <c r="F4762">
        <v>4536</v>
      </c>
      <c r="G4762" t="s">
        <v>1395</v>
      </c>
      <c r="H4762" t="s">
        <v>16</v>
      </c>
      <c r="I4762" t="s">
        <v>232</v>
      </c>
      <c r="J4762" t="s">
        <v>233</v>
      </c>
      <c r="K4762" t="s">
        <v>1809</v>
      </c>
      <c r="L4762" t="str">
        <f>HYPERLINK("https://business-monitor.ch/de/companies/34684-rene-misteli?utm_source=oberaargau","PROFIL ANSEHEN")</f>
        <v>PROFIL ANSEHEN</v>
      </c>
    </row>
    <row r="4763" spans="1:12" x14ac:dyDescent="0.2">
      <c r="A4763" t="s">
        <v>9372</v>
      </c>
      <c r="B4763" t="s">
        <v>9373</v>
      </c>
      <c r="C4763" t="s">
        <v>13</v>
      </c>
      <c r="E4763" t="s">
        <v>5126</v>
      </c>
      <c r="F4763">
        <v>3360</v>
      </c>
      <c r="G4763" t="s">
        <v>35</v>
      </c>
      <c r="H4763" t="s">
        <v>16</v>
      </c>
      <c r="I4763" t="s">
        <v>232</v>
      </c>
      <c r="J4763" t="s">
        <v>233</v>
      </c>
      <c r="K4763" t="s">
        <v>1809</v>
      </c>
      <c r="L4763" t="str">
        <f>HYPERLINK("https://business-monitor.ch/de/companies/67360-corag-treuhand-ag?utm_source=oberaargau","PROFIL ANSEHEN")</f>
        <v>PROFIL ANSEHEN</v>
      </c>
    </row>
    <row r="4764" spans="1:12" x14ac:dyDescent="0.2">
      <c r="A4764" t="s">
        <v>6984</v>
      </c>
      <c r="B4764" t="s">
        <v>6985</v>
      </c>
      <c r="C4764" t="s">
        <v>1922</v>
      </c>
      <c r="E4764" t="s">
        <v>6986</v>
      </c>
      <c r="F4764">
        <v>3476</v>
      </c>
      <c r="G4764" t="s">
        <v>3506</v>
      </c>
      <c r="H4764" t="s">
        <v>16</v>
      </c>
      <c r="I4764" t="s">
        <v>1924</v>
      </c>
      <c r="J4764" t="s">
        <v>1925</v>
      </c>
      <c r="K4764" t="s">
        <v>1809</v>
      </c>
      <c r="L4764" t="str">
        <f>HYPERLINK("https://business-monitor.ch/de/companies/718184-fondation-cuno-amiet?utm_source=oberaargau","PROFIL ANSEHEN")</f>
        <v>PROFIL ANSEHEN</v>
      </c>
    </row>
    <row r="4765" spans="1:12" x14ac:dyDescent="0.2">
      <c r="A4765" t="s">
        <v>4450</v>
      </c>
      <c r="B4765" t="s">
        <v>4451</v>
      </c>
      <c r="C4765" t="s">
        <v>13</v>
      </c>
      <c r="E4765" t="s">
        <v>4452</v>
      </c>
      <c r="F4765">
        <v>4900</v>
      </c>
      <c r="G4765" t="s">
        <v>41</v>
      </c>
      <c r="H4765" t="s">
        <v>16</v>
      </c>
      <c r="I4765" t="s">
        <v>186</v>
      </c>
      <c r="J4765" t="s">
        <v>187</v>
      </c>
      <c r="K4765" t="s">
        <v>1809</v>
      </c>
      <c r="L4765" t="str">
        <f>HYPERLINK("https://business-monitor.ch/de/companies/731147-parmat-ag?utm_source=oberaargau","PROFIL ANSEHEN")</f>
        <v>PROFIL ANSEHEN</v>
      </c>
    </row>
    <row r="4766" spans="1:12" x14ac:dyDescent="0.2">
      <c r="A4766" t="s">
        <v>7578</v>
      </c>
      <c r="B4766" t="s">
        <v>7579</v>
      </c>
      <c r="C4766" t="s">
        <v>202</v>
      </c>
      <c r="E4766" t="s">
        <v>7580</v>
      </c>
      <c r="F4766">
        <v>3360</v>
      </c>
      <c r="G4766" t="s">
        <v>35</v>
      </c>
      <c r="H4766" t="s">
        <v>16</v>
      </c>
      <c r="I4766" t="s">
        <v>551</v>
      </c>
      <c r="J4766" t="s">
        <v>552</v>
      </c>
      <c r="K4766" t="s">
        <v>1809</v>
      </c>
      <c r="L4766" t="str">
        <f>HYPERLINK("https://business-monitor.ch/de/companies/685737-wirktisch-gmbh?utm_source=oberaargau","PROFIL ANSEHEN")</f>
        <v>PROFIL ANSEHEN</v>
      </c>
    </row>
    <row r="4767" spans="1:12" x14ac:dyDescent="0.2">
      <c r="A4767" t="s">
        <v>4274</v>
      </c>
      <c r="B4767" t="s">
        <v>4275</v>
      </c>
      <c r="C4767" t="s">
        <v>202</v>
      </c>
      <c r="E4767" t="s">
        <v>4276</v>
      </c>
      <c r="F4767">
        <v>4704</v>
      </c>
      <c r="G4767" t="s">
        <v>221</v>
      </c>
      <c r="H4767" t="s">
        <v>16</v>
      </c>
      <c r="I4767" t="s">
        <v>4277</v>
      </c>
      <c r="J4767" t="s">
        <v>4278</v>
      </c>
      <c r="K4767" t="s">
        <v>1809</v>
      </c>
      <c r="L4767" t="str">
        <f>HYPERLINK("https://business-monitor.ch/de/companies/978650-jenny-bau-forst-gmbh?utm_source=oberaargau","PROFIL ANSEHEN")</f>
        <v>PROFIL ANSEHEN</v>
      </c>
    </row>
    <row r="4768" spans="1:12" x14ac:dyDescent="0.2">
      <c r="A4768" t="s">
        <v>9802</v>
      </c>
      <c r="B4768" t="s">
        <v>9803</v>
      </c>
      <c r="C4768" t="s">
        <v>13</v>
      </c>
      <c r="D4768" t="s">
        <v>9804</v>
      </c>
      <c r="E4768" t="s">
        <v>1498</v>
      </c>
      <c r="F4768">
        <v>4900</v>
      </c>
      <c r="G4768" t="s">
        <v>41</v>
      </c>
      <c r="H4768" t="s">
        <v>16</v>
      </c>
      <c r="I4768" t="s">
        <v>182</v>
      </c>
      <c r="J4768" t="s">
        <v>183</v>
      </c>
      <c r="K4768" t="s">
        <v>1809</v>
      </c>
      <c r="L4768" t="str">
        <f>HYPERLINK("https://business-monitor.ch/de/companies/1013392-landolt-group-ag?utm_source=oberaargau","PROFIL ANSEHEN")</f>
        <v>PROFIL ANSEHEN</v>
      </c>
    </row>
    <row r="4769" spans="1:12" x14ac:dyDescent="0.2">
      <c r="A4769" t="s">
        <v>12414</v>
      </c>
      <c r="B4769" t="s">
        <v>12415</v>
      </c>
      <c r="C4769" t="s">
        <v>202</v>
      </c>
      <c r="E4769" t="s">
        <v>12416</v>
      </c>
      <c r="F4769">
        <v>4938</v>
      </c>
      <c r="G4769" t="s">
        <v>618</v>
      </c>
      <c r="H4769" t="s">
        <v>16</v>
      </c>
      <c r="I4769" t="s">
        <v>551</v>
      </c>
      <c r="J4769" t="s">
        <v>552</v>
      </c>
      <c r="K4769" t="s">
        <v>1809</v>
      </c>
      <c r="L4769" t="str">
        <f>HYPERLINK("https://business-monitor.ch/de/companies/1199905-hf-admin-gmbh?utm_source=oberaargau","PROFIL ANSEHEN")</f>
        <v>PROFIL ANSEHEN</v>
      </c>
    </row>
    <row r="4770" spans="1:12" x14ac:dyDescent="0.2">
      <c r="A4770" t="s">
        <v>12315</v>
      </c>
      <c r="B4770" t="s">
        <v>12316</v>
      </c>
      <c r="C4770" t="s">
        <v>202</v>
      </c>
      <c r="E4770" t="s">
        <v>6091</v>
      </c>
      <c r="F4770">
        <v>4912</v>
      </c>
      <c r="G4770" t="s">
        <v>64</v>
      </c>
      <c r="H4770" t="s">
        <v>16</v>
      </c>
      <c r="I4770" t="s">
        <v>1401</v>
      </c>
      <c r="J4770" t="s">
        <v>1402</v>
      </c>
      <c r="K4770" t="s">
        <v>1809</v>
      </c>
      <c r="L4770" t="str">
        <f>HYPERLINK("https://business-monitor.ch/de/companies/1199406-simon-rickli-blumen-geschenke-gmbh?utm_source=oberaargau","PROFIL ANSEHEN")</f>
        <v>PROFIL ANSEHEN</v>
      </c>
    </row>
    <row r="4771" spans="1:12" x14ac:dyDescent="0.2">
      <c r="A4771" t="s">
        <v>3666</v>
      </c>
      <c r="B4771" t="s">
        <v>3667</v>
      </c>
      <c r="C4771" t="s">
        <v>13</v>
      </c>
      <c r="E4771" t="s">
        <v>3668</v>
      </c>
      <c r="F4771">
        <v>4937</v>
      </c>
      <c r="G4771" t="s">
        <v>951</v>
      </c>
      <c r="H4771" t="s">
        <v>16</v>
      </c>
      <c r="I4771" t="s">
        <v>1535</v>
      </c>
      <c r="J4771" t="s">
        <v>1536</v>
      </c>
      <c r="K4771" t="s">
        <v>1809</v>
      </c>
      <c r="L4771" t="str">
        <f>HYPERLINK("https://business-monitor.ch/de/companies/42573-guedel-gartenbau-ag?utm_source=oberaargau","PROFIL ANSEHEN")</f>
        <v>PROFIL ANSEHEN</v>
      </c>
    </row>
    <row r="4772" spans="1:12" x14ac:dyDescent="0.2">
      <c r="A4772" t="s">
        <v>12033</v>
      </c>
      <c r="B4772" t="s">
        <v>12034</v>
      </c>
      <c r="C4772" t="s">
        <v>13</v>
      </c>
      <c r="E4772" t="s">
        <v>212</v>
      </c>
      <c r="F4772">
        <v>3380</v>
      </c>
      <c r="G4772" t="s">
        <v>29</v>
      </c>
      <c r="H4772" t="s">
        <v>16</v>
      </c>
      <c r="I4772" t="s">
        <v>182</v>
      </c>
      <c r="J4772" t="s">
        <v>183</v>
      </c>
      <c r="K4772" t="s">
        <v>1809</v>
      </c>
      <c r="L4772" t="str">
        <f>HYPERLINK("https://business-monitor.ch/de/companies/1185880-simatec-holding-ag?utm_source=oberaargau","PROFIL ANSEHEN")</f>
        <v>PROFIL ANSEHEN</v>
      </c>
    </row>
    <row r="4773" spans="1:12" x14ac:dyDescent="0.2">
      <c r="A4773" t="s">
        <v>12695</v>
      </c>
      <c r="B4773" t="s">
        <v>12536</v>
      </c>
      <c r="C4773" t="s">
        <v>1812</v>
      </c>
      <c r="E4773" t="s">
        <v>12537</v>
      </c>
      <c r="F4773">
        <v>3367</v>
      </c>
      <c r="G4773" t="s">
        <v>455</v>
      </c>
      <c r="H4773" t="s">
        <v>16</v>
      </c>
      <c r="I4773" t="s">
        <v>1865</v>
      </c>
      <c r="J4773" t="s">
        <v>1866</v>
      </c>
      <c r="K4773" t="s">
        <v>1809</v>
      </c>
      <c r="L4773" t="str">
        <f>HYPERLINK("https://business-monitor.ch/de/companies/1202760-supersauber-anita-wrobel?utm_source=oberaargau","PROFIL ANSEHEN")</f>
        <v>PROFIL ANSEHEN</v>
      </c>
    </row>
    <row r="4774" spans="1:12" x14ac:dyDescent="0.2">
      <c r="A4774" t="s">
        <v>14680</v>
      </c>
      <c r="B4774" t="s">
        <v>14681</v>
      </c>
      <c r="C4774" t="s">
        <v>202</v>
      </c>
      <c r="E4774" t="s">
        <v>14682</v>
      </c>
      <c r="F4774">
        <v>3380</v>
      </c>
      <c r="G4774" t="s">
        <v>29</v>
      </c>
      <c r="H4774" t="s">
        <v>16</v>
      </c>
      <c r="I4774" t="s">
        <v>72</v>
      </c>
      <c r="J4774" t="s">
        <v>73</v>
      </c>
      <c r="K4774" t="s">
        <v>1809</v>
      </c>
      <c r="L4774" t="str">
        <f>HYPERLINK("https://business-monitor.ch/de/companies/1202950-berguf-gmbh?utm_source=oberaargau","PROFIL ANSEHEN")</f>
        <v>PROFIL ANSEHEN</v>
      </c>
    </row>
    <row r="4775" spans="1:12" x14ac:dyDescent="0.2">
      <c r="A4775" t="s">
        <v>12092</v>
      </c>
      <c r="B4775" t="s">
        <v>12093</v>
      </c>
      <c r="C4775" t="s">
        <v>202</v>
      </c>
      <c r="E4775" t="s">
        <v>12094</v>
      </c>
      <c r="F4775">
        <v>4538</v>
      </c>
      <c r="G4775" t="s">
        <v>71</v>
      </c>
      <c r="H4775" t="s">
        <v>16</v>
      </c>
      <c r="I4775" t="s">
        <v>24</v>
      </c>
      <c r="J4775" t="s">
        <v>25</v>
      </c>
      <c r="K4775" t="s">
        <v>1809</v>
      </c>
      <c r="L4775" t="str">
        <f>HYPERLINK("https://business-monitor.ch/de/companies/1188454-aklamax-gmbh?utm_source=oberaargau","PROFIL ANSEHEN")</f>
        <v>PROFIL ANSEHEN</v>
      </c>
    </row>
    <row r="4776" spans="1:12" x14ac:dyDescent="0.2">
      <c r="A4776" t="s">
        <v>12275</v>
      </c>
      <c r="B4776" t="s">
        <v>12276</v>
      </c>
      <c r="C4776" t="s">
        <v>202</v>
      </c>
      <c r="D4776" t="s">
        <v>12277</v>
      </c>
      <c r="E4776" t="s">
        <v>12278</v>
      </c>
      <c r="F4776">
        <v>3360</v>
      </c>
      <c r="G4776" t="s">
        <v>35</v>
      </c>
      <c r="H4776" t="s">
        <v>16</v>
      </c>
      <c r="I4776" t="s">
        <v>276</v>
      </c>
      <c r="J4776" t="s">
        <v>277</v>
      </c>
      <c r="K4776" t="s">
        <v>1809</v>
      </c>
      <c r="L4776" t="str">
        <f>HYPERLINK("https://business-monitor.ch/de/companies/1191456-feinstern-gmbh?utm_source=oberaargau","PROFIL ANSEHEN")</f>
        <v>PROFIL ANSEHEN</v>
      </c>
    </row>
    <row r="4777" spans="1:12" x14ac:dyDescent="0.2">
      <c r="A4777" t="s">
        <v>12456</v>
      </c>
      <c r="B4777" t="s">
        <v>12457</v>
      </c>
      <c r="C4777" t="s">
        <v>2178</v>
      </c>
      <c r="E4777" t="s">
        <v>2693</v>
      </c>
      <c r="F4777">
        <v>4900</v>
      </c>
      <c r="G4777" t="s">
        <v>41</v>
      </c>
      <c r="H4777" t="s">
        <v>16</v>
      </c>
      <c r="I4777" t="s">
        <v>12458</v>
      </c>
      <c r="J4777" t="s">
        <v>12459</v>
      </c>
      <c r="K4777" t="s">
        <v>1809</v>
      </c>
      <c r="L4777" t="str">
        <f>HYPERLINK("https://business-monitor.ch/de/companies/1191230-az-repro-ag?utm_source=oberaargau","PROFIL ANSEHEN")</f>
        <v>PROFIL ANSEHEN</v>
      </c>
    </row>
    <row r="4778" spans="1:12" x14ac:dyDescent="0.2">
      <c r="A4778" t="s">
        <v>10890</v>
      </c>
      <c r="B4778" t="s">
        <v>10891</v>
      </c>
      <c r="C4778" t="s">
        <v>1812</v>
      </c>
      <c r="E4778" t="s">
        <v>2085</v>
      </c>
      <c r="F4778">
        <v>4704</v>
      </c>
      <c r="G4778" t="s">
        <v>3142</v>
      </c>
      <c r="H4778" t="s">
        <v>16</v>
      </c>
      <c r="I4778" t="s">
        <v>2665</v>
      </c>
      <c r="J4778" t="s">
        <v>2666</v>
      </c>
      <c r="K4778" t="s">
        <v>1809</v>
      </c>
      <c r="L4778" t="str">
        <f>HYPERLINK("https://business-monitor.ch/de/companies/1110316-dakawo-natur-und-wildnisschule-daniel-kamber?utm_source=oberaargau","PROFIL ANSEHEN")</f>
        <v>PROFIL ANSEHEN</v>
      </c>
    </row>
    <row r="4779" spans="1:12" x14ac:dyDescent="0.2">
      <c r="A4779" t="s">
        <v>10892</v>
      </c>
      <c r="B4779" t="s">
        <v>10893</v>
      </c>
      <c r="C4779" t="s">
        <v>13</v>
      </c>
      <c r="D4779" t="s">
        <v>10894</v>
      </c>
      <c r="E4779" t="s">
        <v>10895</v>
      </c>
      <c r="F4779">
        <v>3380</v>
      </c>
      <c r="G4779" t="s">
        <v>29</v>
      </c>
      <c r="H4779" t="s">
        <v>16</v>
      </c>
      <c r="I4779" t="s">
        <v>260</v>
      </c>
      <c r="J4779" t="s">
        <v>261</v>
      </c>
      <c r="K4779" t="s">
        <v>1809</v>
      </c>
      <c r="L4779" t="str">
        <f>HYPERLINK("https://business-monitor.ch/de/companies/1110398-hbl-galli-ag?utm_source=oberaargau","PROFIL ANSEHEN")</f>
        <v>PROFIL ANSEHEN</v>
      </c>
    </row>
    <row r="4780" spans="1:12" x14ac:dyDescent="0.2">
      <c r="A4780" t="s">
        <v>1627</v>
      </c>
      <c r="B4780" t="s">
        <v>11877</v>
      </c>
      <c r="C4780" t="s">
        <v>202</v>
      </c>
      <c r="E4780" t="s">
        <v>7144</v>
      </c>
      <c r="F4780">
        <v>4932</v>
      </c>
      <c r="G4780" t="s">
        <v>2036</v>
      </c>
      <c r="H4780" t="s">
        <v>16</v>
      </c>
      <c r="I4780" t="s">
        <v>1470</v>
      </c>
      <c r="J4780" t="s">
        <v>1471</v>
      </c>
      <c r="K4780" t="s">
        <v>1809</v>
      </c>
      <c r="L4780" t="str">
        <f>HYPERLINK("https://business-monitor.ch/de/companies/940508-b-z-tech-gmbh?utm_source=oberaargau","PROFIL ANSEHEN")</f>
        <v>PROFIL ANSEHEN</v>
      </c>
    </row>
    <row r="4781" spans="1:12" x14ac:dyDescent="0.2">
      <c r="A4781" t="s">
        <v>7032</v>
      </c>
      <c r="B4781" t="s">
        <v>7033</v>
      </c>
      <c r="C4781" t="s">
        <v>1812</v>
      </c>
      <c r="E4781" t="s">
        <v>7034</v>
      </c>
      <c r="F4781">
        <v>4934</v>
      </c>
      <c r="G4781" t="s">
        <v>670</v>
      </c>
      <c r="H4781" t="s">
        <v>16</v>
      </c>
      <c r="I4781" t="s">
        <v>191</v>
      </c>
      <c r="J4781" t="s">
        <v>192</v>
      </c>
      <c r="K4781" t="s">
        <v>1809</v>
      </c>
      <c r="L4781" t="str">
        <f>HYPERLINK("https://business-monitor.ch/de/companies/1052944-rowa-schweiz-adrian-beer?utm_source=oberaargau","PROFIL ANSEHEN")</f>
        <v>PROFIL ANSEHEN</v>
      </c>
    </row>
    <row r="4782" spans="1:12" x14ac:dyDescent="0.2">
      <c r="A4782" t="s">
        <v>6482</v>
      </c>
      <c r="B4782" t="s">
        <v>6483</v>
      </c>
      <c r="C4782" t="s">
        <v>202</v>
      </c>
      <c r="E4782" t="s">
        <v>823</v>
      </c>
      <c r="F4782">
        <v>4950</v>
      </c>
      <c r="G4782" t="s">
        <v>15</v>
      </c>
      <c r="H4782" t="s">
        <v>16</v>
      </c>
      <c r="I4782" t="s">
        <v>2534</v>
      </c>
      <c r="J4782" t="s">
        <v>2535</v>
      </c>
      <c r="K4782" t="s">
        <v>1809</v>
      </c>
      <c r="L4782" t="str">
        <f>HYPERLINK("https://business-monitor.ch/de/companies/259244-reiselade-huttwil-gmbh?utm_source=oberaargau","PROFIL ANSEHEN")</f>
        <v>PROFIL ANSEHEN</v>
      </c>
    </row>
    <row r="4783" spans="1:12" x14ac:dyDescent="0.2">
      <c r="A4783" t="s">
        <v>4295</v>
      </c>
      <c r="B4783" t="s">
        <v>4296</v>
      </c>
      <c r="C4783" t="s">
        <v>13</v>
      </c>
      <c r="E4783" t="s">
        <v>4297</v>
      </c>
      <c r="F4783">
        <v>4950</v>
      </c>
      <c r="G4783" t="s">
        <v>15</v>
      </c>
      <c r="H4783" t="s">
        <v>16</v>
      </c>
      <c r="I4783" t="s">
        <v>11257</v>
      </c>
      <c r="J4783" t="s">
        <v>11258</v>
      </c>
      <c r="K4783" t="s">
        <v>1809</v>
      </c>
      <c r="L4783" t="str">
        <f>HYPERLINK("https://business-monitor.ch/de/companies/975070-schuhcafe-caspar-ag?utm_source=oberaargau","PROFIL ANSEHEN")</f>
        <v>PROFIL ANSEHEN</v>
      </c>
    </row>
    <row r="4784" spans="1:12" x14ac:dyDescent="0.2">
      <c r="A4784" t="s">
        <v>12511</v>
      </c>
      <c r="B4784" t="s">
        <v>12512</v>
      </c>
      <c r="C4784" t="s">
        <v>2258</v>
      </c>
      <c r="E4784" t="s">
        <v>1552</v>
      </c>
      <c r="F4784">
        <v>4704</v>
      </c>
      <c r="G4784" t="s">
        <v>221</v>
      </c>
      <c r="H4784" t="s">
        <v>16</v>
      </c>
      <c r="I4784" t="s">
        <v>5919</v>
      </c>
      <c r="J4784" t="s">
        <v>5920</v>
      </c>
      <c r="K4784" t="s">
        <v>1809</v>
      </c>
      <c r="L4784" t="str">
        <f>HYPERLINK("https://business-monitor.ch/de/companies/1208821-responsibility-schweiz?utm_source=oberaargau","PROFIL ANSEHEN")</f>
        <v>PROFIL ANSEHEN</v>
      </c>
    </row>
    <row r="4785" spans="1:12" x14ac:dyDescent="0.2">
      <c r="A4785" t="s">
        <v>12604</v>
      </c>
      <c r="B4785" t="s">
        <v>12605</v>
      </c>
      <c r="C4785" t="s">
        <v>202</v>
      </c>
      <c r="D4785" t="s">
        <v>12606</v>
      </c>
      <c r="E4785" t="s">
        <v>11277</v>
      </c>
      <c r="F4785">
        <v>3365</v>
      </c>
      <c r="G4785" t="s">
        <v>2390</v>
      </c>
      <c r="H4785" t="s">
        <v>16</v>
      </c>
      <c r="I4785" t="s">
        <v>8707</v>
      </c>
      <c r="J4785" t="s">
        <v>8708</v>
      </c>
      <c r="K4785" t="s">
        <v>1809</v>
      </c>
      <c r="L4785" t="str">
        <f>HYPERLINK("https://business-monitor.ch/de/companies/1203476-muehlemann-agrar-gmbh?utm_source=oberaargau","PROFIL ANSEHEN")</f>
        <v>PROFIL ANSEHEN</v>
      </c>
    </row>
    <row r="4786" spans="1:12" x14ac:dyDescent="0.2">
      <c r="A4786" t="s">
        <v>12524</v>
      </c>
      <c r="B4786" t="s">
        <v>12525</v>
      </c>
      <c r="C4786" t="s">
        <v>1812</v>
      </c>
      <c r="E4786" t="s">
        <v>12526</v>
      </c>
      <c r="F4786">
        <v>4537</v>
      </c>
      <c r="G4786" t="s">
        <v>113</v>
      </c>
      <c r="H4786" t="s">
        <v>16</v>
      </c>
      <c r="I4786" t="s">
        <v>340</v>
      </c>
      <c r="J4786" t="s">
        <v>341</v>
      </c>
      <c r="K4786" t="s">
        <v>1809</v>
      </c>
      <c r="L4786" t="str">
        <f>HYPERLINK("https://business-monitor.ch/de/companies/1207570-lingg-s-management?utm_source=oberaargau","PROFIL ANSEHEN")</f>
        <v>PROFIL ANSEHEN</v>
      </c>
    </row>
    <row r="4787" spans="1:12" x14ac:dyDescent="0.2">
      <c r="A4787" t="s">
        <v>12527</v>
      </c>
      <c r="B4787" t="s">
        <v>12528</v>
      </c>
      <c r="C4787" t="s">
        <v>202</v>
      </c>
      <c r="E4787" t="s">
        <v>12529</v>
      </c>
      <c r="F4787">
        <v>3365</v>
      </c>
      <c r="G4787" t="s">
        <v>1008</v>
      </c>
      <c r="H4787" t="s">
        <v>16</v>
      </c>
      <c r="I4787" t="s">
        <v>2842</v>
      </c>
      <c r="J4787" t="s">
        <v>2843</v>
      </c>
      <c r="K4787" t="s">
        <v>1809</v>
      </c>
      <c r="L4787" t="str">
        <f>HYPERLINK("https://business-monitor.ch/de/companies/1205255-hesse-consult-gmbh?utm_source=oberaargau","PROFIL ANSEHEN")</f>
        <v>PROFIL ANSEHEN</v>
      </c>
    </row>
    <row r="4788" spans="1:12" x14ac:dyDescent="0.2">
      <c r="A4788" t="s">
        <v>12530</v>
      </c>
      <c r="B4788" t="s">
        <v>12531</v>
      </c>
      <c r="C4788" t="s">
        <v>1812</v>
      </c>
      <c r="E4788" t="s">
        <v>12532</v>
      </c>
      <c r="F4788">
        <v>4934</v>
      </c>
      <c r="G4788" t="s">
        <v>670</v>
      </c>
      <c r="H4788" t="s">
        <v>16</v>
      </c>
      <c r="I4788" t="s">
        <v>260</v>
      </c>
      <c r="J4788" t="s">
        <v>261</v>
      </c>
      <c r="K4788" t="s">
        <v>1809</v>
      </c>
      <c r="L4788" t="str">
        <f>HYPERLINK("https://business-monitor.ch/de/companies/1205564-baertschi-bau-planung?utm_source=oberaargau","PROFIL ANSEHEN")</f>
        <v>PROFIL ANSEHEN</v>
      </c>
    </row>
    <row r="4789" spans="1:12" x14ac:dyDescent="0.2">
      <c r="A4789" t="s">
        <v>12722</v>
      </c>
      <c r="B4789" t="s">
        <v>12723</v>
      </c>
      <c r="C4789" t="s">
        <v>1812</v>
      </c>
      <c r="E4789" t="s">
        <v>1346</v>
      </c>
      <c r="F4789">
        <v>4950</v>
      </c>
      <c r="G4789" t="s">
        <v>15</v>
      </c>
      <c r="H4789" t="s">
        <v>16</v>
      </c>
      <c r="I4789" t="s">
        <v>1855</v>
      </c>
      <c r="J4789" t="s">
        <v>1856</v>
      </c>
      <c r="K4789" t="s">
        <v>1809</v>
      </c>
      <c r="L4789" t="str">
        <f>HYPERLINK("https://business-monitor.ch/de/companies/1209890-beauty-relax-by-chiara-zoe-renggli?utm_source=oberaargau","PROFIL ANSEHEN")</f>
        <v>PROFIL ANSEHEN</v>
      </c>
    </row>
    <row r="4790" spans="1:12" x14ac:dyDescent="0.2">
      <c r="A4790" t="s">
        <v>12616</v>
      </c>
      <c r="B4790" t="s">
        <v>12617</v>
      </c>
      <c r="C4790" t="s">
        <v>202</v>
      </c>
      <c r="D4790" t="s">
        <v>12618</v>
      </c>
      <c r="E4790" t="s">
        <v>12619</v>
      </c>
      <c r="F4790">
        <v>3376</v>
      </c>
      <c r="G4790" t="s">
        <v>2012</v>
      </c>
      <c r="H4790" t="s">
        <v>16</v>
      </c>
      <c r="I4790" t="s">
        <v>5080</v>
      </c>
      <c r="J4790" t="s">
        <v>5081</v>
      </c>
      <c r="K4790" t="s">
        <v>1809</v>
      </c>
      <c r="L4790" t="str">
        <f>HYPERLINK("https://business-monitor.ch/de/companies/1207087-kita-wichteli-gmbh?utm_source=oberaargau","PROFIL ANSEHEN")</f>
        <v>PROFIL ANSEHEN</v>
      </c>
    </row>
    <row r="4791" spans="1:12" x14ac:dyDescent="0.2">
      <c r="A4791" t="s">
        <v>12533</v>
      </c>
      <c r="B4791" t="s">
        <v>12534</v>
      </c>
      <c r="C4791" t="s">
        <v>13</v>
      </c>
      <c r="E4791" t="s">
        <v>3860</v>
      </c>
      <c r="F4791">
        <v>4900</v>
      </c>
      <c r="G4791" t="s">
        <v>41</v>
      </c>
      <c r="H4791" t="s">
        <v>16</v>
      </c>
      <c r="I4791" t="s">
        <v>4247</v>
      </c>
      <c r="J4791" t="s">
        <v>4248</v>
      </c>
      <c r="K4791" t="s">
        <v>1809</v>
      </c>
      <c r="L4791" t="str">
        <f>HYPERLINK("https://business-monitor.ch/de/companies/1203807-praxis-14-ag?utm_source=oberaargau","PROFIL ANSEHEN")</f>
        <v>PROFIL ANSEHEN</v>
      </c>
    </row>
    <row r="4792" spans="1:12" x14ac:dyDescent="0.2">
      <c r="A4792" t="s">
        <v>12538</v>
      </c>
      <c r="B4792" t="s">
        <v>12539</v>
      </c>
      <c r="C4792" t="s">
        <v>1812</v>
      </c>
      <c r="E4792" t="s">
        <v>7920</v>
      </c>
      <c r="F4792">
        <v>3380</v>
      </c>
      <c r="G4792" t="s">
        <v>29</v>
      </c>
      <c r="H4792" t="s">
        <v>16</v>
      </c>
      <c r="I4792" t="s">
        <v>596</v>
      </c>
      <c r="J4792" t="s">
        <v>597</v>
      </c>
      <c r="K4792" t="s">
        <v>1809</v>
      </c>
      <c r="L4792" t="str">
        <f>HYPERLINK("https://business-monitor.ch/de/companies/1202337-oppliger-getraenke?utm_source=oberaargau","PROFIL ANSEHEN")</f>
        <v>PROFIL ANSEHEN</v>
      </c>
    </row>
    <row r="4793" spans="1:12" x14ac:dyDescent="0.2">
      <c r="A4793" t="s">
        <v>12622</v>
      </c>
      <c r="B4793" t="s">
        <v>12623</v>
      </c>
      <c r="C4793" t="s">
        <v>202</v>
      </c>
      <c r="E4793" t="s">
        <v>12624</v>
      </c>
      <c r="F4793">
        <v>4704</v>
      </c>
      <c r="G4793" t="s">
        <v>221</v>
      </c>
      <c r="H4793" t="s">
        <v>16</v>
      </c>
      <c r="I4793" t="s">
        <v>679</v>
      </c>
      <c r="J4793" t="s">
        <v>680</v>
      </c>
      <c r="K4793" t="s">
        <v>1809</v>
      </c>
      <c r="L4793" t="str">
        <f>HYPERLINK("https://business-monitor.ch/de/companies/1210056-ts-fabrikate-beratung-gmbh?utm_source=oberaargau","PROFIL ANSEHEN")</f>
        <v>PROFIL ANSEHEN</v>
      </c>
    </row>
    <row r="4794" spans="1:12" x14ac:dyDescent="0.2">
      <c r="A4794" t="s">
        <v>9282</v>
      </c>
      <c r="B4794" t="s">
        <v>9283</v>
      </c>
      <c r="C4794" t="s">
        <v>202</v>
      </c>
      <c r="E4794" t="s">
        <v>9284</v>
      </c>
      <c r="F4794">
        <v>4539</v>
      </c>
      <c r="G4794" t="s">
        <v>1134</v>
      </c>
      <c r="H4794" t="s">
        <v>16</v>
      </c>
      <c r="I4794" t="s">
        <v>570</v>
      </c>
      <c r="J4794" t="s">
        <v>571</v>
      </c>
      <c r="K4794" t="s">
        <v>1809</v>
      </c>
      <c r="L4794" t="str">
        <f>HYPERLINK("https://business-monitor.ch/de/companies/105519-felber-rohr-und-metallbau-carrosserie-gmbh?utm_source=oberaargau","PROFIL ANSEHEN")</f>
        <v>PROFIL ANSEHEN</v>
      </c>
    </row>
    <row r="4795" spans="1:12" x14ac:dyDescent="0.2">
      <c r="A4795" t="s">
        <v>3562</v>
      </c>
      <c r="B4795" t="s">
        <v>3563</v>
      </c>
      <c r="C4795" t="s">
        <v>1812</v>
      </c>
      <c r="E4795" t="s">
        <v>3564</v>
      </c>
      <c r="F4795">
        <v>3367</v>
      </c>
      <c r="G4795" t="s">
        <v>455</v>
      </c>
      <c r="H4795" t="s">
        <v>16</v>
      </c>
      <c r="I4795" t="s">
        <v>232</v>
      </c>
      <c r="J4795" t="s">
        <v>233</v>
      </c>
      <c r="K4795" t="s">
        <v>1809</v>
      </c>
      <c r="L4795" t="str">
        <f>HYPERLINK("https://business-monitor.ch/de/companies/116792-ernst-gruetter-immobilien?utm_source=oberaargau","PROFIL ANSEHEN")</f>
        <v>PROFIL ANSEHEN</v>
      </c>
    </row>
    <row r="4796" spans="1:12" x14ac:dyDescent="0.2">
      <c r="A4796" t="s">
        <v>6743</v>
      </c>
      <c r="B4796" t="s">
        <v>6744</v>
      </c>
      <c r="C4796" t="s">
        <v>202</v>
      </c>
      <c r="D4796" t="s">
        <v>6745</v>
      </c>
      <c r="E4796" t="s">
        <v>6746</v>
      </c>
      <c r="F4796">
        <v>3375</v>
      </c>
      <c r="G4796" t="s">
        <v>667</v>
      </c>
      <c r="H4796" t="s">
        <v>16</v>
      </c>
      <c r="I4796" t="s">
        <v>624</v>
      </c>
      <c r="J4796" t="s">
        <v>625</v>
      </c>
      <c r="K4796" t="s">
        <v>1809</v>
      </c>
      <c r="L4796" t="str">
        <f>HYPERLINK("https://business-monitor.ch/de/companies/125464-stalder-holzbauplanung-gmbh?utm_source=oberaargau","PROFIL ANSEHEN")</f>
        <v>PROFIL ANSEHEN</v>
      </c>
    </row>
    <row r="4797" spans="1:12" x14ac:dyDescent="0.2">
      <c r="A4797" t="s">
        <v>6716</v>
      </c>
      <c r="B4797" t="s">
        <v>6717</v>
      </c>
      <c r="C4797" t="s">
        <v>1812</v>
      </c>
      <c r="E4797" t="s">
        <v>14683</v>
      </c>
      <c r="F4797">
        <v>4911</v>
      </c>
      <c r="G4797" t="s">
        <v>1005</v>
      </c>
      <c r="H4797" t="s">
        <v>16</v>
      </c>
      <c r="I4797" t="s">
        <v>838</v>
      </c>
      <c r="J4797" t="s">
        <v>839</v>
      </c>
      <c r="K4797" t="s">
        <v>1809</v>
      </c>
      <c r="L4797" t="str">
        <f>HYPERLINK("https://business-monitor.ch/de/companies/138727-peter-meier?utm_source=oberaargau","PROFIL ANSEHEN")</f>
        <v>PROFIL ANSEHEN</v>
      </c>
    </row>
    <row r="4798" spans="1:12" x14ac:dyDescent="0.2">
      <c r="A4798" t="s">
        <v>9142</v>
      </c>
      <c r="B4798" t="s">
        <v>9143</v>
      </c>
      <c r="C4798" t="s">
        <v>13</v>
      </c>
      <c r="E4798" t="s">
        <v>9144</v>
      </c>
      <c r="F4798">
        <v>4934</v>
      </c>
      <c r="G4798" t="s">
        <v>670</v>
      </c>
      <c r="H4798" t="s">
        <v>16</v>
      </c>
      <c r="I4798" t="s">
        <v>679</v>
      </c>
      <c r="J4798" t="s">
        <v>680</v>
      </c>
      <c r="K4798" t="s">
        <v>1809</v>
      </c>
      <c r="L4798" t="str">
        <f>HYPERLINK("https://business-monitor.ch/de/companies/171605-zuma-ag?utm_source=oberaargau","PROFIL ANSEHEN")</f>
        <v>PROFIL ANSEHEN</v>
      </c>
    </row>
    <row r="4799" spans="1:12" x14ac:dyDescent="0.2">
      <c r="A4799" t="s">
        <v>9060</v>
      </c>
      <c r="B4799" t="s">
        <v>9061</v>
      </c>
      <c r="C4799" t="s">
        <v>13</v>
      </c>
      <c r="E4799" t="s">
        <v>9062</v>
      </c>
      <c r="F4799">
        <v>4913</v>
      </c>
      <c r="G4799" t="s">
        <v>207</v>
      </c>
      <c r="H4799" t="s">
        <v>16</v>
      </c>
      <c r="I4799" t="s">
        <v>96</v>
      </c>
      <c r="J4799" t="s">
        <v>97</v>
      </c>
      <c r="K4799" t="s">
        <v>1809</v>
      </c>
      <c r="L4799" t="str">
        <f>HYPERLINK("https://business-monitor.ch/de/companies/188420-schiesskeller-roggwil-ag?utm_source=oberaargau","PROFIL ANSEHEN")</f>
        <v>PROFIL ANSEHEN</v>
      </c>
    </row>
    <row r="4800" spans="1:12" x14ac:dyDescent="0.2">
      <c r="A4800" t="s">
        <v>3378</v>
      </c>
      <c r="B4800" t="s">
        <v>3379</v>
      </c>
      <c r="C4800" t="s">
        <v>1812</v>
      </c>
      <c r="E4800" t="s">
        <v>3380</v>
      </c>
      <c r="F4800">
        <v>4900</v>
      </c>
      <c r="G4800" t="s">
        <v>41</v>
      </c>
      <c r="H4800" t="s">
        <v>16</v>
      </c>
      <c r="I4800" t="s">
        <v>642</v>
      </c>
      <c r="J4800" t="s">
        <v>643</v>
      </c>
      <c r="K4800" t="s">
        <v>1809</v>
      </c>
      <c r="L4800" t="str">
        <f>HYPERLINK("https://business-monitor.ch/de/companies/204107-urs-buergin?utm_source=oberaargau","PROFIL ANSEHEN")</f>
        <v>PROFIL ANSEHEN</v>
      </c>
    </row>
    <row r="4801" spans="1:12" x14ac:dyDescent="0.2">
      <c r="A4801" t="s">
        <v>9632</v>
      </c>
      <c r="B4801" t="s">
        <v>9633</v>
      </c>
      <c r="C4801" t="s">
        <v>1812</v>
      </c>
      <c r="E4801" t="s">
        <v>9634</v>
      </c>
      <c r="F4801">
        <v>4536</v>
      </c>
      <c r="G4801" t="s">
        <v>1395</v>
      </c>
      <c r="H4801" t="s">
        <v>16</v>
      </c>
      <c r="I4801" t="s">
        <v>2438</v>
      </c>
      <c r="J4801" t="s">
        <v>2439</v>
      </c>
      <c r="K4801" t="s">
        <v>1809</v>
      </c>
      <c r="L4801" t="str">
        <f>HYPERLINK("https://business-monitor.ch/de/companies/1049987-kopp-benjamin?utm_source=oberaargau","PROFIL ANSEHEN")</f>
        <v>PROFIL ANSEHEN</v>
      </c>
    </row>
    <row r="4802" spans="1:12" x14ac:dyDescent="0.2">
      <c r="A4802" t="s">
        <v>5683</v>
      </c>
      <c r="B4802" t="s">
        <v>5684</v>
      </c>
      <c r="C4802" t="s">
        <v>202</v>
      </c>
      <c r="F4802">
        <v>4953</v>
      </c>
      <c r="G4802" t="s">
        <v>2311</v>
      </c>
      <c r="H4802" t="s">
        <v>16</v>
      </c>
      <c r="I4802" t="s">
        <v>3876</v>
      </c>
      <c r="J4802" t="s">
        <v>3877</v>
      </c>
      <c r="K4802" t="s">
        <v>1809</v>
      </c>
      <c r="L4802" t="str">
        <f>HYPERLINK("https://business-monitor.ch/de/companies/208466-martin-strub-gmbh?utm_source=oberaargau","PROFIL ANSEHEN")</f>
        <v>PROFIL ANSEHEN</v>
      </c>
    </row>
    <row r="4803" spans="1:12" x14ac:dyDescent="0.2">
      <c r="A4803" t="s">
        <v>10607</v>
      </c>
      <c r="B4803" t="s">
        <v>10608</v>
      </c>
      <c r="C4803" t="s">
        <v>1812</v>
      </c>
      <c r="E4803" t="s">
        <v>10609</v>
      </c>
      <c r="F4803">
        <v>3367</v>
      </c>
      <c r="G4803" t="s">
        <v>455</v>
      </c>
      <c r="H4803" t="s">
        <v>16</v>
      </c>
      <c r="I4803" t="s">
        <v>2842</v>
      </c>
      <c r="J4803" t="s">
        <v>2843</v>
      </c>
      <c r="K4803" t="s">
        <v>1809</v>
      </c>
      <c r="L4803" t="str">
        <f>HYPERLINK("https://business-monitor.ch/de/companies/225584-kueng-consulting?utm_source=oberaargau","PROFIL ANSEHEN")</f>
        <v>PROFIL ANSEHEN</v>
      </c>
    </row>
    <row r="4804" spans="1:12" x14ac:dyDescent="0.2">
      <c r="A4804" t="s">
        <v>5801</v>
      </c>
      <c r="B4804" t="s">
        <v>5802</v>
      </c>
      <c r="C4804" t="s">
        <v>202</v>
      </c>
      <c r="E4804" t="s">
        <v>5803</v>
      </c>
      <c r="F4804">
        <v>3380</v>
      </c>
      <c r="G4804" t="s">
        <v>29</v>
      </c>
      <c r="H4804" t="s">
        <v>16</v>
      </c>
      <c r="I4804" t="s">
        <v>551</v>
      </c>
      <c r="J4804" t="s">
        <v>552</v>
      </c>
      <c r="K4804" t="s">
        <v>1809</v>
      </c>
      <c r="L4804" t="str">
        <f>HYPERLINK("https://business-monitor.ch/de/companies/732808-projektbauer-gmbh?utm_source=oberaargau","PROFIL ANSEHEN")</f>
        <v>PROFIL ANSEHEN</v>
      </c>
    </row>
    <row r="4805" spans="1:12" x14ac:dyDescent="0.2">
      <c r="A4805" t="s">
        <v>7294</v>
      </c>
      <c r="B4805" t="s">
        <v>7295</v>
      </c>
      <c r="C4805" t="s">
        <v>1812</v>
      </c>
      <c r="E4805" t="s">
        <v>573</v>
      </c>
      <c r="F4805">
        <v>4912</v>
      </c>
      <c r="G4805" t="s">
        <v>64</v>
      </c>
      <c r="H4805" t="s">
        <v>16</v>
      </c>
      <c r="I4805" t="s">
        <v>7350</v>
      </c>
      <c r="J4805" t="s">
        <v>7351</v>
      </c>
      <c r="K4805" t="s">
        <v>1809</v>
      </c>
      <c r="L4805" t="str">
        <f>HYPERLINK("https://business-monitor.ch/de/companies/1008581-goldstern-transport-shaqiri?utm_source=oberaargau","PROFIL ANSEHEN")</f>
        <v>PROFIL ANSEHEN</v>
      </c>
    </row>
    <row r="4806" spans="1:12" x14ac:dyDescent="0.2">
      <c r="A4806" t="s">
        <v>9718</v>
      </c>
      <c r="B4806" t="s">
        <v>9719</v>
      </c>
      <c r="C4806" t="s">
        <v>202</v>
      </c>
      <c r="E4806" t="s">
        <v>9720</v>
      </c>
      <c r="F4806">
        <v>3373</v>
      </c>
      <c r="G4806" t="s">
        <v>2429</v>
      </c>
      <c r="H4806" t="s">
        <v>16</v>
      </c>
      <c r="I4806" t="s">
        <v>671</v>
      </c>
      <c r="J4806" t="s">
        <v>672</v>
      </c>
      <c r="K4806" t="s">
        <v>1809</v>
      </c>
      <c r="L4806" t="str">
        <f>HYPERLINK("https://business-monitor.ch/de/companies/1044876-hausaerztin-dr-med-sylke-rupp-gmbh?utm_source=oberaargau","PROFIL ANSEHEN")</f>
        <v>PROFIL ANSEHEN</v>
      </c>
    </row>
    <row r="4807" spans="1:12" x14ac:dyDescent="0.2">
      <c r="A4807" t="s">
        <v>9743</v>
      </c>
      <c r="B4807" t="s">
        <v>9744</v>
      </c>
      <c r="C4807" t="s">
        <v>202</v>
      </c>
      <c r="D4807" t="s">
        <v>4745</v>
      </c>
      <c r="E4807" t="s">
        <v>1084</v>
      </c>
      <c r="F4807">
        <v>4900</v>
      </c>
      <c r="G4807" t="s">
        <v>41</v>
      </c>
      <c r="H4807" t="s">
        <v>16</v>
      </c>
      <c r="I4807" t="s">
        <v>186</v>
      </c>
      <c r="J4807" t="s">
        <v>187</v>
      </c>
      <c r="K4807" t="s">
        <v>1809</v>
      </c>
      <c r="L4807" t="str">
        <f>HYPERLINK("https://business-monitor.ch/de/companies/1033514-mknb-gmbh?utm_source=oberaargau","PROFIL ANSEHEN")</f>
        <v>PROFIL ANSEHEN</v>
      </c>
    </row>
    <row r="4808" spans="1:12" x14ac:dyDescent="0.2">
      <c r="A4808" t="s">
        <v>3886</v>
      </c>
      <c r="B4808" t="s">
        <v>3887</v>
      </c>
      <c r="C4808" t="s">
        <v>13</v>
      </c>
      <c r="E4808" t="s">
        <v>3888</v>
      </c>
      <c r="F4808">
        <v>4932</v>
      </c>
      <c r="G4808" t="s">
        <v>325</v>
      </c>
      <c r="H4808" t="s">
        <v>16</v>
      </c>
      <c r="I4808" t="s">
        <v>642</v>
      </c>
      <c r="J4808" t="s">
        <v>643</v>
      </c>
      <c r="K4808" t="s">
        <v>1809</v>
      </c>
      <c r="L4808" t="str">
        <f>HYPERLINK("https://business-monitor.ch/de/companies/1013570-sport-garage-affentranger-ag?utm_source=oberaargau","PROFIL ANSEHEN")</f>
        <v>PROFIL ANSEHEN</v>
      </c>
    </row>
    <row r="4809" spans="1:12" x14ac:dyDescent="0.2">
      <c r="A4809" t="s">
        <v>6970</v>
      </c>
      <c r="B4809" t="s">
        <v>6971</v>
      </c>
      <c r="C4809" t="s">
        <v>13</v>
      </c>
      <c r="D4809" t="s">
        <v>6972</v>
      </c>
      <c r="E4809" t="s">
        <v>1228</v>
      </c>
      <c r="F4809">
        <v>4900</v>
      </c>
      <c r="G4809" t="s">
        <v>41</v>
      </c>
      <c r="H4809" t="s">
        <v>16</v>
      </c>
      <c r="I4809" t="s">
        <v>157</v>
      </c>
      <c r="J4809" t="s">
        <v>158</v>
      </c>
      <c r="K4809" t="s">
        <v>1809</v>
      </c>
      <c r="L4809" t="str">
        <f>HYPERLINK("https://business-monitor.ch/de/companies/1039450-u-l-immobilien-ag?utm_source=oberaargau","PROFIL ANSEHEN")</f>
        <v>PROFIL ANSEHEN</v>
      </c>
    </row>
    <row r="4810" spans="1:12" x14ac:dyDescent="0.2">
      <c r="A4810" t="s">
        <v>11222</v>
      </c>
      <c r="B4810" t="s">
        <v>11223</v>
      </c>
      <c r="C4810" t="s">
        <v>202</v>
      </c>
      <c r="E4810" t="s">
        <v>11224</v>
      </c>
      <c r="F4810">
        <v>4952</v>
      </c>
      <c r="G4810" t="s">
        <v>474</v>
      </c>
      <c r="H4810" t="s">
        <v>16</v>
      </c>
      <c r="I4810" t="s">
        <v>134</v>
      </c>
      <c r="J4810" t="s">
        <v>135</v>
      </c>
      <c r="K4810" t="s">
        <v>1809</v>
      </c>
      <c r="L4810" t="str">
        <f>HYPERLINK("https://business-monitor.ch/de/companies/1124234-kaempf-allrounder-gmbh?utm_source=oberaargau","PROFIL ANSEHEN")</f>
        <v>PROFIL ANSEHEN</v>
      </c>
    </row>
    <row r="4811" spans="1:12" x14ac:dyDescent="0.2">
      <c r="A4811" t="s">
        <v>1963</v>
      </c>
      <c r="B4811" t="s">
        <v>1964</v>
      </c>
      <c r="C4811" t="s">
        <v>1812</v>
      </c>
      <c r="E4811" t="s">
        <v>1965</v>
      </c>
      <c r="F4811">
        <v>4900</v>
      </c>
      <c r="G4811" t="s">
        <v>41</v>
      </c>
      <c r="H4811" t="s">
        <v>16</v>
      </c>
      <c r="I4811" t="s">
        <v>1860</v>
      </c>
      <c r="J4811" t="s">
        <v>1861</v>
      </c>
      <c r="K4811" t="s">
        <v>1809</v>
      </c>
      <c r="L4811" t="str">
        <f>HYPERLINK("https://business-monitor.ch/de/companies/223483-salon-allmen-habegger?utm_source=oberaargau","PROFIL ANSEHEN")</f>
        <v>PROFIL ANSEHEN</v>
      </c>
    </row>
    <row r="4812" spans="1:12" x14ac:dyDescent="0.2">
      <c r="A4812" t="s">
        <v>1588</v>
      </c>
      <c r="B4812" t="s">
        <v>1589</v>
      </c>
      <c r="C4812" t="s">
        <v>202</v>
      </c>
      <c r="D4812" t="s">
        <v>11418</v>
      </c>
      <c r="E4812" t="s">
        <v>11419</v>
      </c>
      <c r="F4812">
        <v>4923</v>
      </c>
      <c r="G4812" t="s">
        <v>732</v>
      </c>
      <c r="H4812" t="s">
        <v>16</v>
      </c>
      <c r="I4812" t="s">
        <v>3822</v>
      </c>
      <c r="J4812" t="s">
        <v>3823</v>
      </c>
      <c r="K4812" t="s">
        <v>1809</v>
      </c>
      <c r="L4812" t="str">
        <f>HYPERLINK("https://business-monitor.ch/de/companies/1066482-grow-home-gmbh?utm_source=oberaargau","PROFIL ANSEHEN")</f>
        <v>PROFIL ANSEHEN</v>
      </c>
    </row>
    <row r="4813" spans="1:12" x14ac:dyDescent="0.2">
      <c r="A4813" t="s">
        <v>5593</v>
      </c>
      <c r="B4813" t="s">
        <v>5594</v>
      </c>
      <c r="C4813" t="s">
        <v>202</v>
      </c>
      <c r="E4813" t="s">
        <v>13057</v>
      </c>
      <c r="F4813">
        <v>4900</v>
      </c>
      <c r="G4813" t="s">
        <v>41</v>
      </c>
      <c r="H4813" t="s">
        <v>16</v>
      </c>
      <c r="I4813" t="s">
        <v>167</v>
      </c>
      <c r="J4813" t="s">
        <v>168</v>
      </c>
      <c r="K4813" t="s">
        <v>1809</v>
      </c>
      <c r="L4813" t="str">
        <f>HYPERLINK("https://business-monitor.ch/de/companies/1080506-immolena-gmbh?utm_source=oberaargau","PROFIL ANSEHEN")</f>
        <v>PROFIL ANSEHEN</v>
      </c>
    </row>
    <row r="4814" spans="1:12" x14ac:dyDescent="0.2">
      <c r="A4814" t="s">
        <v>10460</v>
      </c>
      <c r="B4814" t="s">
        <v>10461</v>
      </c>
      <c r="C4814" t="s">
        <v>1812</v>
      </c>
      <c r="E4814" t="s">
        <v>2806</v>
      </c>
      <c r="F4814">
        <v>4704</v>
      </c>
      <c r="G4814" t="s">
        <v>221</v>
      </c>
      <c r="H4814" t="s">
        <v>16</v>
      </c>
      <c r="I4814" t="s">
        <v>748</v>
      </c>
      <c r="J4814" t="s">
        <v>749</v>
      </c>
      <c r="K4814" t="s">
        <v>1809</v>
      </c>
      <c r="L4814" t="str">
        <f>HYPERLINK("https://business-monitor.ch/de/companies/1079028-maleratelier-rodriguez?utm_source=oberaargau","PROFIL ANSEHEN")</f>
        <v>PROFIL ANSEHEN</v>
      </c>
    </row>
    <row r="4815" spans="1:12" x14ac:dyDescent="0.2">
      <c r="A4815" t="s">
        <v>1849</v>
      </c>
      <c r="B4815" t="s">
        <v>1850</v>
      </c>
      <c r="C4815" t="s">
        <v>1812</v>
      </c>
      <c r="E4815" t="s">
        <v>1851</v>
      </c>
      <c r="F4815">
        <v>4955</v>
      </c>
      <c r="G4815" t="s">
        <v>684</v>
      </c>
      <c r="H4815" t="s">
        <v>16</v>
      </c>
      <c r="I4815" t="s">
        <v>1852</v>
      </c>
      <c r="J4815" t="s">
        <v>1853</v>
      </c>
      <c r="K4815" t="s">
        <v>1809</v>
      </c>
      <c r="L4815" t="str">
        <f>HYPERLINK("https://business-monitor.ch/de/companies/1072303-dm-renovation-demeter?utm_source=oberaargau","PROFIL ANSEHEN")</f>
        <v>PROFIL ANSEHEN</v>
      </c>
    </row>
    <row r="4816" spans="1:12" x14ac:dyDescent="0.2">
      <c r="A4816" t="s">
        <v>2536</v>
      </c>
      <c r="B4816" t="s">
        <v>2537</v>
      </c>
      <c r="C4816" t="s">
        <v>1812</v>
      </c>
      <c r="E4816" t="s">
        <v>2538</v>
      </c>
      <c r="F4816">
        <v>4900</v>
      </c>
      <c r="G4816" t="s">
        <v>41</v>
      </c>
      <c r="H4816" t="s">
        <v>16</v>
      </c>
      <c r="I4816" t="s">
        <v>642</v>
      </c>
      <c r="J4816" t="s">
        <v>643</v>
      </c>
      <c r="K4816" t="s">
        <v>1809</v>
      </c>
      <c r="L4816" t="str">
        <f>HYPERLINK("https://business-monitor.ch/de/companies/262434-autocenter-fritz-ingold?utm_source=oberaargau","PROFIL ANSEHEN")</f>
        <v>PROFIL ANSEHEN</v>
      </c>
    </row>
    <row r="4817" spans="1:12" x14ac:dyDescent="0.2">
      <c r="A4817" t="s">
        <v>8995</v>
      </c>
      <c r="B4817" t="s">
        <v>8996</v>
      </c>
      <c r="C4817" t="s">
        <v>202</v>
      </c>
      <c r="E4817" t="s">
        <v>8997</v>
      </c>
      <c r="F4817">
        <v>4950</v>
      </c>
      <c r="G4817" t="s">
        <v>15</v>
      </c>
      <c r="H4817" t="s">
        <v>16</v>
      </c>
      <c r="I4817" t="s">
        <v>3201</v>
      </c>
      <c r="J4817" t="s">
        <v>3202</v>
      </c>
      <c r="K4817" t="s">
        <v>1809</v>
      </c>
      <c r="L4817" t="str">
        <f>HYPERLINK("https://business-monitor.ch/de/companies/241311-modello-gmbh?utm_source=oberaargau","PROFIL ANSEHEN")</f>
        <v>PROFIL ANSEHEN</v>
      </c>
    </row>
    <row r="4818" spans="1:12" x14ac:dyDescent="0.2">
      <c r="A4818" t="s">
        <v>3833</v>
      </c>
      <c r="B4818" t="s">
        <v>3834</v>
      </c>
      <c r="C4818" t="s">
        <v>2178</v>
      </c>
      <c r="E4818" t="s">
        <v>2259</v>
      </c>
      <c r="F4818">
        <v>4900</v>
      </c>
      <c r="G4818" t="s">
        <v>41</v>
      </c>
      <c r="H4818" t="s">
        <v>16</v>
      </c>
      <c r="I4818" t="s">
        <v>1171</v>
      </c>
      <c r="J4818" t="s">
        <v>1172</v>
      </c>
      <c r="K4818" t="s">
        <v>1809</v>
      </c>
      <c r="L4818" t="str">
        <f>HYPERLINK("https://business-monitor.ch/de/companies/550893-bellini-personal-ag?utm_source=oberaargau","PROFIL ANSEHEN")</f>
        <v>PROFIL ANSEHEN</v>
      </c>
    </row>
    <row r="4819" spans="1:12" x14ac:dyDescent="0.2">
      <c r="A4819" t="s">
        <v>1678</v>
      </c>
      <c r="B4819" t="s">
        <v>5656</v>
      </c>
      <c r="C4819" t="s">
        <v>13</v>
      </c>
      <c r="E4819" t="s">
        <v>5657</v>
      </c>
      <c r="F4819">
        <v>4943</v>
      </c>
      <c r="G4819" t="s">
        <v>1022</v>
      </c>
      <c r="H4819" t="s">
        <v>16</v>
      </c>
      <c r="I4819" t="s">
        <v>5658</v>
      </c>
      <c r="J4819" t="s">
        <v>5659</v>
      </c>
      <c r="K4819" t="s">
        <v>1809</v>
      </c>
      <c r="L4819" t="str">
        <f>HYPERLINK("https://business-monitor.ch/de/companies/244051-spaetig-motorsports-ag?utm_source=oberaargau","PROFIL ANSEHEN")</f>
        <v>PROFIL ANSEHEN</v>
      </c>
    </row>
    <row r="4820" spans="1:12" x14ac:dyDescent="0.2">
      <c r="A4820" t="s">
        <v>6950</v>
      </c>
      <c r="B4820" t="s">
        <v>6951</v>
      </c>
      <c r="C4820" t="s">
        <v>1922</v>
      </c>
      <c r="E4820" t="s">
        <v>6710</v>
      </c>
      <c r="F4820">
        <v>4900</v>
      </c>
      <c r="G4820" t="s">
        <v>41</v>
      </c>
      <c r="H4820" t="s">
        <v>16</v>
      </c>
      <c r="I4820" t="s">
        <v>1924</v>
      </c>
      <c r="J4820" t="s">
        <v>1925</v>
      </c>
      <c r="K4820" t="s">
        <v>1809</v>
      </c>
      <c r="L4820" t="str">
        <f>HYPERLINK("https://business-monitor.ch/de/companies/280397-stiftung-fuer-gesundheit-religiositaet-und-spiritualitaet?utm_source=oberaargau","PROFIL ANSEHEN")</f>
        <v>PROFIL ANSEHEN</v>
      </c>
    </row>
    <row r="4821" spans="1:12" x14ac:dyDescent="0.2">
      <c r="A4821" t="s">
        <v>1915</v>
      </c>
      <c r="B4821" t="s">
        <v>1916</v>
      </c>
      <c r="C4821" t="s">
        <v>1812</v>
      </c>
      <c r="E4821" t="s">
        <v>1917</v>
      </c>
      <c r="F4821">
        <v>4537</v>
      </c>
      <c r="G4821" t="s">
        <v>113</v>
      </c>
      <c r="H4821" t="s">
        <v>16</v>
      </c>
      <c r="I4821" t="s">
        <v>1918</v>
      </c>
      <c r="J4821" t="s">
        <v>1919</v>
      </c>
      <c r="K4821" t="s">
        <v>1809</v>
      </c>
      <c r="L4821" t="str">
        <f>HYPERLINK("https://business-monitor.ch/de/companies/286307-sollberger-uhren-optik?utm_source=oberaargau","PROFIL ANSEHEN")</f>
        <v>PROFIL ANSEHEN</v>
      </c>
    </row>
    <row r="4822" spans="1:12" x14ac:dyDescent="0.2">
      <c r="A4822" t="s">
        <v>2280</v>
      </c>
      <c r="B4822" t="s">
        <v>2281</v>
      </c>
      <c r="C4822" t="s">
        <v>2010</v>
      </c>
      <c r="F4822">
        <v>4917</v>
      </c>
      <c r="G4822" t="s">
        <v>376</v>
      </c>
      <c r="H4822" t="s">
        <v>16</v>
      </c>
      <c r="I4822" t="s">
        <v>77</v>
      </c>
      <c r="J4822" t="s">
        <v>78</v>
      </c>
      <c r="K4822" t="s">
        <v>1809</v>
      </c>
      <c r="L4822" t="str">
        <f>HYPERLINK("https://business-monitor.ch/de/companies/295462-schaerer-co-architekturbuero?utm_source=oberaargau","PROFIL ANSEHEN")</f>
        <v>PROFIL ANSEHEN</v>
      </c>
    </row>
    <row r="4823" spans="1:12" x14ac:dyDescent="0.2">
      <c r="A4823" t="s">
        <v>10435</v>
      </c>
      <c r="B4823" t="s">
        <v>10436</v>
      </c>
      <c r="C4823" t="s">
        <v>1922</v>
      </c>
      <c r="D4823" t="s">
        <v>5029</v>
      </c>
      <c r="E4823" t="s">
        <v>5030</v>
      </c>
      <c r="F4823">
        <v>3380</v>
      </c>
      <c r="G4823" t="s">
        <v>29</v>
      </c>
      <c r="H4823" t="s">
        <v>16</v>
      </c>
      <c r="I4823" t="s">
        <v>640</v>
      </c>
      <c r="J4823" t="s">
        <v>641</v>
      </c>
      <c r="K4823" t="s">
        <v>1809</v>
      </c>
      <c r="L4823" t="str">
        <f>HYPERLINK("https://business-monitor.ch/de/companies/1089178-stiftung-vitanetz?utm_source=oberaargau","PROFIL ANSEHEN")</f>
        <v>PROFIL ANSEHEN</v>
      </c>
    </row>
    <row r="4824" spans="1:12" x14ac:dyDescent="0.2">
      <c r="A4824" t="s">
        <v>14684</v>
      </c>
      <c r="B4824" t="s">
        <v>14685</v>
      </c>
      <c r="C4824" t="s">
        <v>1812</v>
      </c>
      <c r="E4824" t="s">
        <v>14686</v>
      </c>
      <c r="F4824">
        <v>3367</v>
      </c>
      <c r="G4824" t="s">
        <v>455</v>
      </c>
      <c r="H4824" t="s">
        <v>16</v>
      </c>
      <c r="I4824" t="s">
        <v>3864</v>
      </c>
      <c r="J4824" t="s">
        <v>3865</v>
      </c>
      <c r="K4824" t="s">
        <v>1809</v>
      </c>
      <c r="L4824" t="str">
        <f>HYPERLINK("https://business-monitor.ch/de/companies/1097149-niederhauser-bildfunke?utm_source=oberaargau","PROFIL ANSEHEN")</f>
        <v>PROFIL ANSEHEN</v>
      </c>
    </row>
    <row r="4825" spans="1:12" x14ac:dyDescent="0.2">
      <c r="A4825" t="s">
        <v>11120</v>
      </c>
      <c r="B4825" t="s">
        <v>11121</v>
      </c>
      <c r="C4825" t="s">
        <v>202</v>
      </c>
      <c r="E4825" t="s">
        <v>11087</v>
      </c>
      <c r="F4825">
        <v>4539</v>
      </c>
      <c r="G4825" t="s">
        <v>23</v>
      </c>
      <c r="H4825" t="s">
        <v>16</v>
      </c>
      <c r="I4825" t="s">
        <v>2748</v>
      </c>
      <c r="J4825" t="s">
        <v>2749</v>
      </c>
      <c r="K4825" t="s">
        <v>1809</v>
      </c>
      <c r="L4825" t="str">
        <f>HYPERLINK("https://business-monitor.ch/de/companies/1113864-boss-ranch-gmbh?utm_source=oberaargau","PROFIL ANSEHEN")</f>
        <v>PROFIL ANSEHEN</v>
      </c>
    </row>
    <row r="4826" spans="1:12" x14ac:dyDescent="0.2">
      <c r="A4826" t="s">
        <v>10839</v>
      </c>
      <c r="B4826" t="s">
        <v>10840</v>
      </c>
      <c r="C4826" t="s">
        <v>1812</v>
      </c>
      <c r="E4826" t="s">
        <v>12254</v>
      </c>
      <c r="F4826">
        <v>4950</v>
      </c>
      <c r="G4826" t="s">
        <v>15</v>
      </c>
      <c r="H4826" t="s">
        <v>16</v>
      </c>
      <c r="I4826" t="s">
        <v>1841</v>
      </c>
      <c r="J4826" t="s">
        <v>1842</v>
      </c>
      <c r="K4826" t="s">
        <v>1809</v>
      </c>
      <c r="L4826" t="str">
        <f>HYPERLINK("https://business-monitor.ch/de/companies/1105763-praxis-pusteblume-seiler?utm_source=oberaargau","PROFIL ANSEHEN")</f>
        <v>PROFIL ANSEHEN</v>
      </c>
    </row>
    <row r="4827" spans="1:12" x14ac:dyDescent="0.2">
      <c r="A4827" t="s">
        <v>10669</v>
      </c>
      <c r="B4827" t="s">
        <v>10670</v>
      </c>
      <c r="C4827" t="s">
        <v>1812</v>
      </c>
      <c r="E4827" t="s">
        <v>2931</v>
      </c>
      <c r="F4827">
        <v>4952</v>
      </c>
      <c r="G4827" t="s">
        <v>474</v>
      </c>
      <c r="H4827" t="s">
        <v>16</v>
      </c>
      <c r="I4827" t="s">
        <v>824</v>
      </c>
      <c r="J4827" t="s">
        <v>825</v>
      </c>
      <c r="K4827" t="s">
        <v>1809</v>
      </c>
      <c r="L4827" t="str">
        <f>HYPERLINK("https://business-monitor.ch/de/companies/1067147-heidi-niederhauser-kafi-heidi?utm_source=oberaargau","PROFIL ANSEHEN")</f>
        <v>PROFIL ANSEHEN</v>
      </c>
    </row>
    <row r="4828" spans="1:12" x14ac:dyDescent="0.2">
      <c r="A4828" t="s">
        <v>8096</v>
      </c>
      <c r="B4828" t="s">
        <v>8097</v>
      </c>
      <c r="C4828" t="s">
        <v>1827</v>
      </c>
      <c r="E4828" t="s">
        <v>8098</v>
      </c>
      <c r="F4828">
        <v>4950</v>
      </c>
      <c r="G4828" t="s">
        <v>15</v>
      </c>
      <c r="H4828" t="s">
        <v>16</v>
      </c>
      <c r="I4828" t="s">
        <v>824</v>
      </c>
      <c r="J4828" t="s">
        <v>825</v>
      </c>
      <c r="K4828" t="s">
        <v>1809</v>
      </c>
      <c r="L4828" t="str">
        <f>HYPERLINK("https://business-monitor.ch/de/companies/1065911-restaurant-zum-baeren-klg?utm_source=oberaargau","PROFIL ANSEHEN")</f>
        <v>PROFIL ANSEHEN</v>
      </c>
    </row>
    <row r="4829" spans="1:12" x14ac:dyDescent="0.2">
      <c r="A4829" t="s">
        <v>5824</v>
      </c>
      <c r="B4829" t="s">
        <v>5825</v>
      </c>
      <c r="C4829" t="s">
        <v>13</v>
      </c>
      <c r="E4829" t="s">
        <v>2284</v>
      </c>
      <c r="F4829">
        <v>4704</v>
      </c>
      <c r="G4829" t="s">
        <v>221</v>
      </c>
      <c r="H4829" t="s">
        <v>16</v>
      </c>
      <c r="I4829" t="s">
        <v>906</v>
      </c>
      <c r="J4829" t="s">
        <v>907</v>
      </c>
      <c r="K4829" t="s">
        <v>1809</v>
      </c>
      <c r="L4829" t="str">
        <f>HYPERLINK("https://business-monitor.ch/de/companies/328750-simatec-installations-ag?utm_source=oberaargau","PROFIL ANSEHEN")</f>
        <v>PROFIL ANSEHEN</v>
      </c>
    </row>
    <row r="4830" spans="1:12" x14ac:dyDescent="0.2">
      <c r="A4830" t="s">
        <v>1933</v>
      </c>
      <c r="B4830" t="s">
        <v>1934</v>
      </c>
      <c r="C4830" t="s">
        <v>1812</v>
      </c>
      <c r="E4830" t="s">
        <v>1935</v>
      </c>
      <c r="F4830">
        <v>4932</v>
      </c>
      <c r="G4830" t="s">
        <v>325</v>
      </c>
      <c r="H4830" t="s">
        <v>16</v>
      </c>
      <c r="I4830" t="s">
        <v>1936</v>
      </c>
      <c r="J4830" t="s">
        <v>1937</v>
      </c>
      <c r="K4830" t="s">
        <v>1809</v>
      </c>
      <c r="L4830" t="str">
        <f>HYPERLINK("https://business-monitor.ch/de/companies/256549-modellbau-stucki?utm_source=oberaargau","PROFIL ANSEHEN")</f>
        <v>PROFIL ANSEHEN</v>
      </c>
    </row>
    <row r="4831" spans="1:12" x14ac:dyDescent="0.2">
      <c r="A4831" t="s">
        <v>12636</v>
      </c>
      <c r="B4831" t="s">
        <v>12637</v>
      </c>
      <c r="C4831" t="s">
        <v>1812</v>
      </c>
      <c r="E4831" t="s">
        <v>8285</v>
      </c>
      <c r="F4831">
        <v>4537</v>
      </c>
      <c r="G4831" t="s">
        <v>113</v>
      </c>
      <c r="H4831" t="s">
        <v>16</v>
      </c>
      <c r="I4831" t="s">
        <v>2197</v>
      </c>
      <c r="J4831" t="s">
        <v>2198</v>
      </c>
      <c r="K4831" t="s">
        <v>1809</v>
      </c>
      <c r="L4831" t="str">
        <f>HYPERLINK("https://business-monitor.ch/de/companies/1181100-zahnarzt-wiedlisbach-dr-med-dent-yur-chung-brogle?utm_source=oberaargau","PROFIL ANSEHEN")</f>
        <v>PROFIL ANSEHEN</v>
      </c>
    </row>
    <row r="4832" spans="1:12" x14ac:dyDescent="0.2">
      <c r="A4832" t="s">
        <v>12173</v>
      </c>
      <c r="B4832" t="s">
        <v>12174</v>
      </c>
      <c r="C4832" t="s">
        <v>202</v>
      </c>
      <c r="E4832" t="s">
        <v>3688</v>
      </c>
      <c r="F4832">
        <v>3360</v>
      </c>
      <c r="G4832" t="s">
        <v>35</v>
      </c>
      <c r="H4832" t="s">
        <v>16</v>
      </c>
      <c r="I4832" t="s">
        <v>134</v>
      </c>
      <c r="J4832" t="s">
        <v>135</v>
      </c>
      <c r="K4832" t="s">
        <v>1809</v>
      </c>
      <c r="L4832" t="str">
        <f>HYPERLINK("https://business-monitor.ch/de/companies/1179731-smartconnect-installations-gmbh?utm_source=oberaargau","PROFIL ANSEHEN")</f>
        <v>PROFIL ANSEHEN</v>
      </c>
    </row>
    <row r="4833" spans="1:12" x14ac:dyDescent="0.2">
      <c r="A4833" t="s">
        <v>12330</v>
      </c>
      <c r="B4833" t="s">
        <v>12331</v>
      </c>
      <c r="C4833" t="s">
        <v>202</v>
      </c>
      <c r="E4833" t="s">
        <v>12332</v>
      </c>
      <c r="F4833">
        <v>4704</v>
      </c>
      <c r="G4833" t="s">
        <v>221</v>
      </c>
      <c r="H4833" t="s">
        <v>16</v>
      </c>
      <c r="I4833" t="s">
        <v>153</v>
      </c>
      <c r="J4833" t="s">
        <v>154</v>
      </c>
      <c r="K4833" t="s">
        <v>1809</v>
      </c>
      <c r="L4833" t="str">
        <f>HYPERLINK("https://business-monitor.ch/de/companies/1196418-bauwerk-ingenieure-gmbh?utm_source=oberaargau","PROFIL ANSEHEN")</f>
        <v>PROFIL ANSEHEN</v>
      </c>
    </row>
    <row r="4834" spans="1:12" x14ac:dyDescent="0.2">
      <c r="A4834" t="s">
        <v>12158</v>
      </c>
      <c r="B4834" t="s">
        <v>12159</v>
      </c>
      <c r="C4834" t="s">
        <v>202</v>
      </c>
      <c r="D4834" t="s">
        <v>12160</v>
      </c>
      <c r="E4834" t="s">
        <v>12161</v>
      </c>
      <c r="F4834">
        <v>4922</v>
      </c>
      <c r="G4834" t="s">
        <v>99</v>
      </c>
      <c r="H4834" t="s">
        <v>16</v>
      </c>
      <c r="I4834" t="s">
        <v>167</v>
      </c>
      <c r="J4834" t="s">
        <v>168</v>
      </c>
      <c r="K4834" t="s">
        <v>1809</v>
      </c>
      <c r="L4834" t="str">
        <f>HYPERLINK("https://business-monitor.ch/de/companies/1177136-rabi-hausbau-gmbh?utm_source=oberaargau","PROFIL ANSEHEN")</f>
        <v>PROFIL ANSEHEN</v>
      </c>
    </row>
    <row r="4835" spans="1:12" x14ac:dyDescent="0.2">
      <c r="A4835" t="s">
        <v>12327</v>
      </c>
      <c r="B4835" t="s">
        <v>12328</v>
      </c>
      <c r="C4835" t="s">
        <v>1812</v>
      </c>
      <c r="E4835" t="s">
        <v>12329</v>
      </c>
      <c r="F4835">
        <v>4923</v>
      </c>
      <c r="G4835" t="s">
        <v>732</v>
      </c>
      <c r="H4835" t="s">
        <v>16</v>
      </c>
      <c r="I4835" t="s">
        <v>1852</v>
      </c>
      <c r="J4835" t="s">
        <v>1853</v>
      </c>
      <c r="K4835" t="s">
        <v>1809</v>
      </c>
      <c r="L4835" t="str">
        <f>HYPERLINK("https://business-monitor.ch/de/companies/1191975-rotweyss-renovation-inh-biela?utm_source=oberaargau","PROFIL ANSEHEN")</f>
        <v>PROFIL ANSEHEN</v>
      </c>
    </row>
    <row r="4836" spans="1:12" x14ac:dyDescent="0.2">
      <c r="A4836" t="s">
        <v>1515</v>
      </c>
      <c r="B4836" t="s">
        <v>1516</v>
      </c>
      <c r="C4836" t="s">
        <v>13</v>
      </c>
      <c r="D4836" t="s">
        <v>12731</v>
      </c>
      <c r="E4836" t="s">
        <v>1817</v>
      </c>
      <c r="F4836">
        <v>4704</v>
      </c>
      <c r="G4836" t="s">
        <v>221</v>
      </c>
      <c r="H4836" t="s">
        <v>16</v>
      </c>
      <c r="I4836" t="s">
        <v>1193</v>
      </c>
      <c r="J4836" t="s">
        <v>1194</v>
      </c>
      <c r="K4836" t="s">
        <v>1809</v>
      </c>
      <c r="L4836" t="str">
        <f>HYPERLINK("https://business-monitor.ch/de/companies/177299-heiniger-unternehmensberatung-ag?utm_source=oberaargau","PROFIL ANSEHEN")</f>
        <v>PROFIL ANSEHEN</v>
      </c>
    </row>
    <row r="4837" spans="1:12" x14ac:dyDescent="0.2">
      <c r="A4837" t="s">
        <v>10495</v>
      </c>
      <c r="B4837" t="s">
        <v>10496</v>
      </c>
      <c r="C4837" t="s">
        <v>1812</v>
      </c>
      <c r="E4837" t="s">
        <v>10497</v>
      </c>
      <c r="F4837">
        <v>4932</v>
      </c>
      <c r="G4837" t="s">
        <v>325</v>
      </c>
      <c r="H4837" t="s">
        <v>16</v>
      </c>
      <c r="I4837" t="s">
        <v>331</v>
      </c>
      <c r="J4837" t="s">
        <v>332</v>
      </c>
      <c r="K4837" t="s">
        <v>1809</v>
      </c>
      <c r="L4837" t="str">
        <f>HYPERLINK("https://business-monitor.ch/de/companies/334035-flueckiger-mechanik?utm_source=oberaargau","PROFIL ANSEHEN")</f>
        <v>PROFIL ANSEHEN</v>
      </c>
    </row>
    <row r="4838" spans="1:12" x14ac:dyDescent="0.2">
      <c r="A4838" t="s">
        <v>12116</v>
      </c>
      <c r="B4838" t="s">
        <v>12117</v>
      </c>
      <c r="C4838" t="s">
        <v>13</v>
      </c>
      <c r="E4838" t="s">
        <v>6139</v>
      </c>
      <c r="F4838">
        <v>4704</v>
      </c>
      <c r="G4838" t="s">
        <v>221</v>
      </c>
      <c r="H4838" t="s">
        <v>16</v>
      </c>
      <c r="I4838" t="s">
        <v>335</v>
      </c>
      <c r="J4838" t="s">
        <v>336</v>
      </c>
      <c r="K4838" t="s">
        <v>1809</v>
      </c>
      <c r="L4838" t="str">
        <f>HYPERLINK("https://business-monitor.ch/de/companies/1187768-avros-ag?utm_source=oberaargau","PROFIL ANSEHEN")</f>
        <v>PROFIL ANSEHEN</v>
      </c>
    </row>
    <row r="4839" spans="1:12" x14ac:dyDescent="0.2">
      <c r="A4839" t="s">
        <v>8213</v>
      </c>
      <c r="B4839" t="s">
        <v>8214</v>
      </c>
      <c r="C4839" t="s">
        <v>202</v>
      </c>
      <c r="D4839" t="s">
        <v>8215</v>
      </c>
      <c r="E4839" t="s">
        <v>602</v>
      </c>
      <c r="F4839">
        <v>4922</v>
      </c>
      <c r="G4839" t="s">
        <v>1318</v>
      </c>
      <c r="H4839" t="s">
        <v>16</v>
      </c>
      <c r="I4839" t="s">
        <v>2715</v>
      </c>
      <c r="J4839" t="s">
        <v>2716</v>
      </c>
      <c r="K4839" t="s">
        <v>1809</v>
      </c>
      <c r="L4839" t="str">
        <f>HYPERLINK("https://business-monitor.ch/de/companies/110951-backstage-gmbh?utm_source=oberaargau","PROFIL ANSEHEN")</f>
        <v>PROFIL ANSEHEN</v>
      </c>
    </row>
    <row r="4840" spans="1:12" x14ac:dyDescent="0.2">
      <c r="A4840" t="s">
        <v>8116</v>
      </c>
      <c r="B4840" t="s">
        <v>8117</v>
      </c>
      <c r="C4840" t="s">
        <v>1812</v>
      </c>
      <c r="E4840" t="s">
        <v>8118</v>
      </c>
      <c r="F4840">
        <v>3373</v>
      </c>
      <c r="G4840" t="s">
        <v>1640</v>
      </c>
      <c r="H4840" t="s">
        <v>16</v>
      </c>
      <c r="I4840" t="s">
        <v>2067</v>
      </c>
      <c r="J4840" t="s">
        <v>2068</v>
      </c>
      <c r="K4840" t="s">
        <v>1809</v>
      </c>
      <c r="L4840" t="str">
        <f>HYPERLINK("https://business-monitor.ch/de/companies/495155-kas-jost-markus-jost?utm_source=oberaargau","PROFIL ANSEHEN")</f>
        <v>PROFIL ANSEHEN</v>
      </c>
    </row>
    <row r="4841" spans="1:12" x14ac:dyDescent="0.2">
      <c r="A4841" t="s">
        <v>3641</v>
      </c>
      <c r="B4841" t="s">
        <v>3642</v>
      </c>
      <c r="C4841" t="s">
        <v>84</v>
      </c>
      <c r="D4841" t="s">
        <v>3643</v>
      </c>
      <c r="E4841" t="s">
        <v>3644</v>
      </c>
      <c r="F4841">
        <v>4950</v>
      </c>
      <c r="G4841" t="s">
        <v>15</v>
      </c>
      <c r="H4841" t="s">
        <v>16</v>
      </c>
      <c r="I4841" t="s">
        <v>1409</v>
      </c>
      <c r="J4841" t="s">
        <v>1410</v>
      </c>
      <c r="K4841" t="s">
        <v>1809</v>
      </c>
      <c r="L4841" t="str">
        <f>HYPERLINK("https://business-monitor.ch/de/companies/68241-nesslisboden-alpen-genossenschaft?utm_source=oberaargau","PROFIL ANSEHEN")</f>
        <v>PROFIL ANSEHEN</v>
      </c>
    </row>
    <row r="4842" spans="1:12" x14ac:dyDescent="0.2">
      <c r="A4842" t="s">
        <v>7423</v>
      </c>
      <c r="B4842" t="s">
        <v>7424</v>
      </c>
      <c r="C4842" t="s">
        <v>202</v>
      </c>
      <c r="E4842" t="s">
        <v>1146</v>
      </c>
      <c r="F4842">
        <v>3360</v>
      </c>
      <c r="G4842" t="s">
        <v>35</v>
      </c>
      <c r="H4842" t="s">
        <v>16</v>
      </c>
      <c r="I4842" t="s">
        <v>144</v>
      </c>
      <c r="J4842" t="s">
        <v>145</v>
      </c>
      <c r="K4842" t="s">
        <v>1809</v>
      </c>
      <c r="L4842" t="str">
        <f>HYPERLINK("https://business-monitor.ch/de/companies/953825-lehmann-stilart-swiss-gmbh?utm_source=oberaargau","PROFIL ANSEHEN")</f>
        <v>PROFIL ANSEHEN</v>
      </c>
    </row>
    <row r="4843" spans="1:12" x14ac:dyDescent="0.2">
      <c r="A4843" t="s">
        <v>8421</v>
      </c>
      <c r="B4843" t="s">
        <v>8422</v>
      </c>
      <c r="C4843" t="s">
        <v>13</v>
      </c>
      <c r="D4843" t="s">
        <v>4778</v>
      </c>
      <c r="E4843" t="s">
        <v>4779</v>
      </c>
      <c r="F4843">
        <v>4937</v>
      </c>
      <c r="G4843" t="s">
        <v>951</v>
      </c>
      <c r="H4843" t="s">
        <v>16</v>
      </c>
      <c r="I4843" t="s">
        <v>182</v>
      </c>
      <c r="J4843" t="s">
        <v>183</v>
      </c>
      <c r="K4843" t="s">
        <v>1809</v>
      </c>
      <c r="L4843" t="str">
        <f>HYPERLINK("https://business-monitor.ch/de/companies/519236-graleu-holding-ag?utm_source=oberaargau","PROFIL ANSEHEN")</f>
        <v>PROFIL ANSEHEN</v>
      </c>
    </row>
    <row r="4844" spans="1:12" x14ac:dyDescent="0.2">
      <c r="A4844" t="s">
        <v>13816</v>
      </c>
      <c r="B4844" t="s">
        <v>13817</v>
      </c>
      <c r="C4844" t="s">
        <v>202</v>
      </c>
      <c r="E4844" t="s">
        <v>4074</v>
      </c>
      <c r="F4844">
        <v>4912</v>
      </c>
      <c r="G4844" t="s">
        <v>64</v>
      </c>
      <c r="H4844" t="s">
        <v>16</v>
      </c>
      <c r="I4844" t="s">
        <v>642</v>
      </c>
      <c r="J4844" t="s">
        <v>643</v>
      </c>
      <c r="K4844" t="s">
        <v>1809</v>
      </c>
      <c r="L4844" t="str">
        <f>HYPERLINK("https://business-monitor.ch/de/companies/1134853-fe-automobile-transport-gmbh?utm_source=oberaargau","PROFIL ANSEHEN")</f>
        <v>PROFIL ANSEHEN</v>
      </c>
    </row>
    <row r="4845" spans="1:12" x14ac:dyDescent="0.2">
      <c r="A4845" t="s">
        <v>6808</v>
      </c>
      <c r="B4845" t="s">
        <v>6809</v>
      </c>
      <c r="C4845" t="s">
        <v>13</v>
      </c>
      <c r="E4845" t="s">
        <v>1223</v>
      </c>
      <c r="F4845">
        <v>4900</v>
      </c>
      <c r="G4845" t="s">
        <v>41</v>
      </c>
      <c r="H4845" t="s">
        <v>16</v>
      </c>
      <c r="I4845" t="s">
        <v>335</v>
      </c>
      <c r="J4845" t="s">
        <v>336</v>
      </c>
      <c r="K4845" t="s">
        <v>1809</v>
      </c>
      <c r="L4845" t="str">
        <f>HYPERLINK("https://business-monitor.ch/de/companies/86483-liliba-ag?utm_source=oberaargau","PROFIL ANSEHEN")</f>
        <v>PROFIL ANSEHEN</v>
      </c>
    </row>
    <row r="4846" spans="1:12" x14ac:dyDescent="0.2">
      <c r="A4846" t="s">
        <v>9965</v>
      </c>
      <c r="B4846" t="s">
        <v>9966</v>
      </c>
      <c r="C4846" t="s">
        <v>1812</v>
      </c>
      <c r="E4846" t="s">
        <v>9967</v>
      </c>
      <c r="F4846">
        <v>4536</v>
      </c>
      <c r="G4846" t="s">
        <v>1395</v>
      </c>
      <c r="H4846" t="s">
        <v>16</v>
      </c>
      <c r="I4846" t="s">
        <v>596</v>
      </c>
      <c r="J4846" t="s">
        <v>597</v>
      </c>
      <c r="K4846" t="s">
        <v>1809</v>
      </c>
      <c r="L4846" t="str">
        <f>HYPERLINK("https://business-monitor.ch/de/companies/935553-frey-weine?utm_source=oberaargau","PROFIL ANSEHEN")</f>
        <v>PROFIL ANSEHEN</v>
      </c>
    </row>
    <row r="4847" spans="1:12" x14ac:dyDescent="0.2">
      <c r="A4847" t="s">
        <v>5699</v>
      </c>
      <c r="B4847" t="s">
        <v>5700</v>
      </c>
      <c r="C4847" t="s">
        <v>1812</v>
      </c>
      <c r="E4847" t="s">
        <v>5701</v>
      </c>
      <c r="F4847">
        <v>4911</v>
      </c>
      <c r="G4847" t="s">
        <v>1005</v>
      </c>
      <c r="H4847" t="s">
        <v>16</v>
      </c>
      <c r="I4847" t="s">
        <v>153</v>
      </c>
      <c r="J4847" t="s">
        <v>154</v>
      </c>
      <c r="K4847" t="s">
        <v>1809</v>
      </c>
      <c r="L4847" t="str">
        <f>HYPERLINK("https://business-monitor.ch/de/companies/127349-sollberger-consulting-engineering?utm_source=oberaargau","PROFIL ANSEHEN")</f>
        <v>PROFIL ANSEHEN</v>
      </c>
    </row>
    <row r="4848" spans="1:12" x14ac:dyDescent="0.2">
      <c r="A4848" t="s">
        <v>6476</v>
      </c>
      <c r="B4848" t="s">
        <v>6477</v>
      </c>
      <c r="C4848" t="s">
        <v>202</v>
      </c>
      <c r="E4848" t="s">
        <v>6478</v>
      </c>
      <c r="F4848">
        <v>4900</v>
      </c>
      <c r="G4848" t="s">
        <v>41</v>
      </c>
      <c r="H4848" t="s">
        <v>16</v>
      </c>
      <c r="I4848" t="s">
        <v>824</v>
      </c>
      <c r="J4848" t="s">
        <v>825</v>
      </c>
      <c r="K4848" t="s">
        <v>1809</v>
      </c>
      <c r="L4848" t="str">
        <f>HYPERLINK("https://business-monitor.ch/de/companies/260160-bistro-selimi-gmbh?utm_source=oberaargau","PROFIL ANSEHEN")</f>
        <v>PROFIL ANSEHEN</v>
      </c>
    </row>
    <row r="4849" spans="1:12" x14ac:dyDescent="0.2">
      <c r="A4849" t="s">
        <v>13147</v>
      </c>
      <c r="B4849" t="s">
        <v>13148</v>
      </c>
      <c r="C4849" t="s">
        <v>202</v>
      </c>
      <c r="D4849" t="s">
        <v>13149</v>
      </c>
      <c r="E4849" t="s">
        <v>13150</v>
      </c>
      <c r="F4849">
        <v>4900</v>
      </c>
      <c r="G4849" t="s">
        <v>41</v>
      </c>
      <c r="H4849" t="s">
        <v>16</v>
      </c>
      <c r="I4849" t="s">
        <v>935</v>
      </c>
      <c r="J4849" t="s">
        <v>936</v>
      </c>
      <c r="K4849" t="s">
        <v>1809</v>
      </c>
      <c r="L4849" t="str">
        <f>HYPERLINK("https://business-monitor.ch/de/companies/1231486-yasa-gmbh?utm_source=oberaargau","PROFIL ANSEHEN")</f>
        <v>PROFIL ANSEHEN</v>
      </c>
    </row>
    <row r="4850" spans="1:12" x14ac:dyDescent="0.2">
      <c r="A4850" t="s">
        <v>2396</v>
      </c>
      <c r="B4850" t="s">
        <v>9027</v>
      </c>
      <c r="C4850" t="s">
        <v>13</v>
      </c>
      <c r="E4850" t="s">
        <v>2969</v>
      </c>
      <c r="F4850">
        <v>4536</v>
      </c>
      <c r="G4850" t="s">
        <v>1395</v>
      </c>
      <c r="H4850" t="s">
        <v>16</v>
      </c>
      <c r="I4850" t="s">
        <v>966</v>
      </c>
      <c r="J4850" t="s">
        <v>967</v>
      </c>
      <c r="K4850" t="s">
        <v>1809</v>
      </c>
      <c r="L4850" t="str">
        <f>HYPERLINK("https://business-monitor.ch/de/companies/26587-andres-ag?utm_source=oberaargau","PROFIL ANSEHEN")</f>
        <v>PROFIL ANSEHEN</v>
      </c>
    </row>
    <row r="4851" spans="1:12" x14ac:dyDescent="0.2">
      <c r="A4851" t="s">
        <v>1313</v>
      </c>
      <c r="B4851" t="s">
        <v>3029</v>
      </c>
      <c r="C4851" t="s">
        <v>13</v>
      </c>
      <c r="E4851" t="s">
        <v>143</v>
      </c>
      <c r="F4851">
        <v>4922</v>
      </c>
      <c r="G4851" t="s">
        <v>99</v>
      </c>
      <c r="H4851" t="s">
        <v>16</v>
      </c>
      <c r="I4851" t="s">
        <v>186</v>
      </c>
      <c r="J4851" t="s">
        <v>187</v>
      </c>
      <c r="K4851" t="s">
        <v>1809</v>
      </c>
      <c r="L4851" t="str">
        <f>HYPERLINK("https://business-monitor.ch/de/companies/92412-girsberger-beteiligungs-ag?utm_source=oberaargau","PROFIL ANSEHEN")</f>
        <v>PROFIL ANSEHEN</v>
      </c>
    </row>
    <row r="4852" spans="1:12" x14ac:dyDescent="0.2">
      <c r="A4852" t="s">
        <v>9155</v>
      </c>
      <c r="B4852" t="s">
        <v>9156</v>
      </c>
      <c r="C4852" t="s">
        <v>13</v>
      </c>
      <c r="E4852" t="s">
        <v>9157</v>
      </c>
      <c r="F4852">
        <v>3368</v>
      </c>
      <c r="G4852" t="s">
        <v>308</v>
      </c>
      <c r="H4852" t="s">
        <v>16</v>
      </c>
      <c r="I4852" t="s">
        <v>3253</v>
      </c>
      <c r="J4852" t="s">
        <v>3254</v>
      </c>
      <c r="K4852" t="s">
        <v>1809</v>
      </c>
      <c r="L4852" t="str">
        <f>HYPERLINK("https://business-monitor.ch/de/companies/171569-land-metzg-rickli-ag?utm_source=oberaargau","PROFIL ANSEHEN")</f>
        <v>PROFIL ANSEHEN</v>
      </c>
    </row>
    <row r="4853" spans="1:12" x14ac:dyDescent="0.2">
      <c r="A4853" t="s">
        <v>2621</v>
      </c>
      <c r="B4853" t="s">
        <v>9302</v>
      </c>
      <c r="C4853" t="s">
        <v>1812</v>
      </c>
      <c r="E4853" t="s">
        <v>9303</v>
      </c>
      <c r="F4853">
        <v>4704</v>
      </c>
      <c r="G4853" t="s">
        <v>221</v>
      </c>
      <c r="H4853" t="s">
        <v>16</v>
      </c>
      <c r="I4853" t="s">
        <v>464</v>
      </c>
      <c r="J4853" t="s">
        <v>465</v>
      </c>
      <c r="K4853" t="s">
        <v>1809</v>
      </c>
      <c r="L4853" t="str">
        <f>HYPERLINK("https://business-monitor.ch/de/companies/92769-frau-j-haeubi-vormals-m-haeubi?utm_source=oberaargau","PROFIL ANSEHEN")</f>
        <v>PROFIL ANSEHEN</v>
      </c>
    </row>
    <row r="4854" spans="1:12" x14ac:dyDescent="0.2">
      <c r="A4854" t="s">
        <v>6804</v>
      </c>
      <c r="B4854" t="s">
        <v>6805</v>
      </c>
      <c r="C4854" t="s">
        <v>13</v>
      </c>
      <c r="E4854" t="s">
        <v>4507</v>
      </c>
      <c r="F4854">
        <v>4900</v>
      </c>
      <c r="G4854" t="s">
        <v>41</v>
      </c>
      <c r="H4854" t="s">
        <v>16</v>
      </c>
      <c r="I4854" t="s">
        <v>935</v>
      </c>
      <c r="J4854" t="s">
        <v>936</v>
      </c>
      <c r="K4854" t="s">
        <v>1809</v>
      </c>
      <c r="L4854" t="str">
        <f>HYPERLINK("https://business-monitor.ch/de/companies/94537-geiser-marktgasse-ag?utm_source=oberaargau","PROFIL ANSEHEN")</f>
        <v>PROFIL ANSEHEN</v>
      </c>
    </row>
    <row r="4855" spans="1:12" x14ac:dyDescent="0.2">
      <c r="A4855" t="s">
        <v>6783</v>
      </c>
      <c r="B4855" t="s">
        <v>6784</v>
      </c>
      <c r="C4855" t="s">
        <v>1812</v>
      </c>
      <c r="E4855" t="s">
        <v>6785</v>
      </c>
      <c r="F4855">
        <v>4922</v>
      </c>
      <c r="G4855" t="s">
        <v>1318</v>
      </c>
      <c r="H4855" t="s">
        <v>16</v>
      </c>
      <c r="I4855" t="s">
        <v>298</v>
      </c>
      <c r="J4855" t="s">
        <v>299</v>
      </c>
      <c r="K4855" t="s">
        <v>1809</v>
      </c>
      <c r="L4855" t="str">
        <f>HYPERLINK("https://business-monitor.ch/de/companies/96332-solaranlagen-guedel?utm_source=oberaargau","PROFIL ANSEHEN")</f>
        <v>PROFIL ANSEHEN</v>
      </c>
    </row>
    <row r="4856" spans="1:12" x14ac:dyDescent="0.2">
      <c r="A4856" t="s">
        <v>7224</v>
      </c>
      <c r="B4856" t="s">
        <v>7225</v>
      </c>
      <c r="C4856" t="s">
        <v>1812</v>
      </c>
      <c r="E4856" t="s">
        <v>7226</v>
      </c>
      <c r="F4856">
        <v>4950</v>
      </c>
      <c r="G4856" t="s">
        <v>15</v>
      </c>
      <c r="H4856" t="s">
        <v>16</v>
      </c>
      <c r="I4856" t="s">
        <v>1401</v>
      </c>
      <c r="J4856" t="s">
        <v>1402</v>
      </c>
      <c r="K4856" t="s">
        <v>1809</v>
      </c>
      <c r="L4856" t="str">
        <f>HYPERLINK("https://business-monitor.ch/de/companies/1031194-bluetenhandwerk-anita-wicki?utm_source=oberaargau","PROFIL ANSEHEN")</f>
        <v>PROFIL ANSEHEN</v>
      </c>
    </row>
    <row r="4857" spans="1:12" x14ac:dyDescent="0.2">
      <c r="A4857" t="s">
        <v>12875</v>
      </c>
      <c r="B4857" t="s">
        <v>12876</v>
      </c>
      <c r="C4857" t="s">
        <v>1812</v>
      </c>
      <c r="E4857" t="s">
        <v>12877</v>
      </c>
      <c r="F4857">
        <v>4934</v>
      </c>
      <c r="G4857" t="s">
        <v>670</v>
      </c>
      <c r="H4857" t="s">
        <v>16</v>
      </c>
      <c r="I4857" t="s">
        <v>854</v>
      </c>
      <c r="J4857" t="s">
        <v>855</v>
      </c>
      <c r="K4857" t="s">
        <v>1809</v>
      </c>
      <c r="L4857" t="str">
        <f>HYPERLINK("https://business-monitor.ch/de/companies/1215248-websize-zeberli?utm_source=oberaargau","PROFIL ANSEHEN")</f>
        <v>PROFIL ANSEHEN</v>
      </c>
    </row>
    <row r="4858" spans="1:12" x14ac:dyDescent="0.2">
      <c r="A4858" t="s">
        <v>3346</v>
      </c>
      <c r="B4858" t="s">
        <v>3347</v>
      </c>
      <c r="C4858" t="s">
        <v>1812</v>
      </c>
      <c r="E4858" t="s">
        <v>1329</v>
      </c>
      <c r="F4858">
        <v>4704</v>
      </c>
      <c r="G4858" t="s">
        <v>3142</v>
      </c>
      <c r="H4858" t="s">
        <v>16</v>
      </c>
      <c r="I4858" t="s">
        <v>854</v>
      </c>
      <c r="J4858" t="s">
        <v>855</v>
      </c>
      <c r="K4858" t="s">
        <v>1809</v>
      </c>
      <c r="L4858" t="str">
        <f>HYPERLINK("https://business-monitor.ch/de/companies/218750-teabee-electronics-thomas-broennimann?utm_source=oberaargau","PROFIL ANSEHEN")</f>
        <v>PROFIL ANSEHEN</v>
      </c>
    </row>
    <row r="4859" spans="1:12" x14ac:dyDescent="0.2">
      <c r="A4859" t="s">
        <v>14073</v>
      </c>
      <c r="B4859" t="s">
        <v>14074</v>
      </c>
      <c r="C4859" t="s">
        <v>202</v>
      </c>
      <c r="E4859" t="s">
        <v>9222</v>
      </c>
      <c r="F4859">
        <v>4922</v>
      </c>
      <c r="G4859" t="s">
        <v>99</v>
      </c>
      <c r="H4859" t="s">
        <v>16</v>
      </c>
      <c r="I4859" t="s">
        <v>2249</v>
      </c>
      <c r="J4859" t="s">
        <v>2250</v>
      </c>
      <c r="K4859" t="s">
        <v>1809</v>
      </c>
      <c r="L4859" t="str">
        <f>HYPERLINK("https://business-monitor.ch/de/companies/1008469-timecube-gmbh?utm_source=oberaargau","PROFIL ANSEHEN")</f>
        <v>PROFIL ANSEHEN</v>
      </c>
    </row>
    <row r="4860" spans="1:12" x14ac:dyDescent="0.2">
      <c r="A4860" t="s">
        <v>1957</v>
      </c>
      <c r="B4860" t="s">
        <v>1958</v>
      </c>
      <c r="C4860" t="s">
        <v>1812</v>
      </c>
      <c r="E4860" t="s">
        <v>1959</v>
      </c>
      <c r="F4860">
        <v>4539</v>
      </c>
      <c r="G4860" t="s">
        <v>23</v>
      </c>
      <c r="H4860" t="s">
        <v>16</v>
      </c>
      <c r="I4860" t="s">
        <v>24</v>
      </c>
      <c r="J4860" t="s">
        <v>25</v>
      </c>
      <c r="K4860" t="s">
        <v>1809</v>
      </c>
      <c r="L4860" t="str">
        <f>HYPERLINK("https://business-monitor.ch/de/companies/224263-berger-software?utm_source=oberaargau","PROFIL ANSEHEN")</f>
        <v>PROFIL ANSEHEN</v>
      </c>
    </row>
    <row r="4861" spans="1:12" x14ac:dyDescent="0.2">
      <c r="A4861" t="s">
        <v>7378</v>
      </c>
      <c r="B4861" t="s">
        <v>7379</v>
      </c>
      <c r="C4861" t="s">
        <v>1827</v>
      </c>
      <c r="E4861" t="s">
        <v>7380</v>
      </c>
      <c r="F4861">
        <v>3380</v>
      </c>
      <c r="G4861" t="s">
        <v>29</v>
      </c>
      <c r="H4861" t="s">
        <v>16</v>
      </c>
      <c r="I4861" t="s">
        <v>824</v>
      </c>
      <c r="J4861" t="s">
        <v>825</v>
      </c>
      <c r="K4861" t="s">
        <v>1809</v>
      </c>
      <c r="L4861" t="str">
        <f>HYPERLINK("https://business-monitor.ch/de/companies/972995-restaurant-rendez-vous-klg?utm_source=oberaargau","PROFIL ANSEHEN")</f>
        <v>PROFIL ANSEHEN</v>
      </c>
    </row>
    <row r="4862" spans="1:12" x14ac:dyDescent="0.2">
      <c r="A4862" t="s">
        <v>3548</v>
      </c>
      <c r="B4862" t="s">
        <v>3549</v>
      </c>
      <c r="C4862" t="s">
        <v>202</v>
      </c>
      <c r="E4862" t="s">
        <v>3550</v>
      </c>
      <c r="F4862">
        <v>4912</v>
      </c>
      <c r="G4862" t="s">
        <v>64</v>
      </c>
      <c r="H4862" t="s">
        <v>16</v>
      </c>
      <c r="I4862" t="s">
        <v>2522</v>
      </c>
      <c r="J4862" t="s">
        <v>2523</v>
      </c>
      <c r="K4862" t="s">
        <v>1809</v>
      </c>
      <c r="L4862" t="str">
        <f>HYPERLINK("https://business-monitor.ch/de/companies/131819-roland-flueckiger-nutzfahrzeug-gmbh?utm_source=oberaargau","PROFIL ANSEHEN")</f>
        <v>PROFIL ANSEHEN</v>
      </c>
    </row>
    <row r="4863" spans="1:12" x14ac:dyDescent="0.2">
      <c r="A4863" t="s">
        <v>11266</v>
      </c>
      <c r="B4863" t="s">
        <v>11267</v>
      </c>
      <c r="C4863" t="s">
        <v>202</v>
      </c>
      <c r="E4863" t="s">
        <v>573</v>
      </c>
      <c r="F4863">
        <v>4912</v>
      </c>
      <c r="G4863" t="s">
        <v>64</v>
      </c>
      <c r="H4863" t="s">
        <v>16</v>
      </c>
      <c r="I4863" t="s">
        <v>186</v>
      </c>
      <c r="J4863" t="s">
        <v>187</v>
      </c>
      <c r="K4863" t="s">
        <v>1809</v>
      </c>
      <c r="L4863" t="str">
        <f>HYPERLINK("https://business-monitor.ch/de/companies/1127273-giulio-stefano-gmbh?utm_source=oberaargau","PROFIL ANSEHEN")</f>
        <v>PROFIL ANSEHEN</v>
      </c>
    </row>
    <row r="4864" spans="1:12" x14ac:dyDescent="0.2">
      <c r="A4864" t="s">
        <v>6544</v>
      </c>
      <c r="B4864" t="s">
        <v>6545</v>
      </c>
      <c r="C4864" t="s">
        <v>1812</v>
      </c>
      <c r="E4864" t="s">
        <v>6546</v>
      </c>
      <c r="F4864">
        <v>4900</v>
      </c>
      <c r="G4864" t="s">
        <v>41</v>
      </c>
      <c r="H4864" t="s">
        <v>16</v>
      </c>
      <c r="I4864" t="s">
        <v>1835</v>
      </c>
      <c r="J4864" t="s">
        <v>1836</v>
      </c>
      <c r="K4864" t="s">
        <v>1809</v>
      </c>
      <c r="L4864" t="str">
        <f>HYPERLINK("https://business-monitor.ch/de/companies/230639-eco-reinigungen-angelina-djordjevic?utm_source=oberaargau","PROFIL ANSEHEN")</f>
        <v>PROFIL ANSEHEN</v>
      </c>
    </row>
    <row r="4865" spans="1:12" x14ac:dyDescent="0.2">
      <c r="A4865" t="s">
        <v>6612</v>
      </c>
      <c r="B4865" t="s">
        <v>6613</v>
      </c>
      <c r="C4865" t="s">
        <v>202</v>
      </c>
      <c r="E4865" t="s">
        <v>6614</v>
      </c>
      <c r="F4865">
        <v>3366</v>
      </c>
      <c r="G4865" t="s">
        <v>2780</v>
      </c>
      <c r="H4865" t="s">
        <v>16</v>
      </c>
      <c r="I4865" t="s">
        <v>331</v>
      </c>
      <c r="J4865" t="s">
        <v>332</v>
      </c>
      <c r="K4865" t="s">
        <v>1809</v>
      </c>
      <c r="L4865" t="str">
        <f>HYPERLINK("https://business-monitor.ch/de/companies/199162-armin-adam-gmbh?utm_source=oberaargau","PROFIL ANSEHEN")</f>
        <v>PROFIL ANSEHEN</v>
      </c>
    </row>
    <row r="4866" spans="1:12" x14ac:dyDescent="0.2">
      <c r="A4866" t="s">
        <v>6536</v>
      </c>
      <c r="B4866" t="s">
        <v>6537</v>
      </c>
      <c r="C4866" t="s">
        <v>202</v>
      </c>
      <c r="E4866" t="s">
        <v>6538</v>
      </c>
      <c r="F4866">
        <v>4900</v>
      </c>
      <c r="G4866" t="s">
        <v>41</v>
      </c>
      <c r="H4866" t="s">
        <v>16</v>
      </c>
      <c r="I4866" t="s">
        <v>2213</v>
      </c>
      <c r="J4866" t="s">
        <v>2214</v>
      </c>
      <c r="K4866" t="s">
        <v>1809</v>
      </c>
      <c r="L4866" t="str">
        <f>HYPERLINK("https://business-monitor.ch/de/companies/234239-ks-theater-produktionen-gmbh?utm_source=oberaargau","PROFIL ANSEHEN")</f>
        <v>PROFIL ANSEHEN</v>
      </c>
    </row>
    <row r="4867" spans="1:12" x14ac:dyDescent="0.2">
      <c r="A4867" t="s">
        <v>6952</v>
      </c>
      <c r="B4867" t="s">
        <v>6953</v>
      </c>
      <c r="C4867" t="s">
        <v>13</v>
      </c>
      <c r="D4867" t="s">
        <v>713</v>
      </c>
      <c r="E4867" t="s">
        <v>714</v>
      </c>
      <c r="F4867">
        <v>4900</v>
      </c>
      <c r="G4867" t="s">
        <v>41</v>
      </c>
      <c r="H4867" t="s">
        <v>16</v>
      </c>
      <c r="I4867" t="s">
        <v>186</v>
      </c>
      <c r="J4867" t="s">
        <v>187</v>
      </c>
      <c r="K4867" t="s">
        <v>1809</v>
      </c>
      <c r="L4867" t="str">
        <f>HYPERLINK("https://business-monitor.ch/de/companies/350-pm-innovation-holding-ag?utm_source=oberaargau","PROFIL ANSEHEN")</f>
        <v>PROFIL ANSEHEN</v>
      </c>
    </row>
    <row r="4868" spans="1:12" x14ac:dyDescent="0.2">
      <c r="A4868" t="s">
        <v>3311</v>
      </c>
      <c r="B4868" t="s">
        <v>3312</v>
      </c>
      <c r="C4868" t="s">
        <v>13</v>
      </c>
      <c r="E4868" t="s">
        <v>3313</v>
      </c>
      <c r="F4868">
        <v>4912</v>
      </c>
      <c r="G4868" t="s">
        <v>64</v>
      </c>
      <c r="H4868" t="s">
        <v>16</v>
      </c>
      <c r="I4868" t="s">
        <v>157</v>
      </c>
      <c r="J4868" t="s">
        <v>158</v>
      </c>
      <c r="K4868" t="s">
        <v>1809</v>
      </c>
      <c r="L4868" t="str">
        <f>HYPERLINK("https://business-monitor.ch/de/companies/235548-aarhouse-ag?utm_source=oberaargau","PROFIL ANSEHEN")</f>
        <v>PROFIL ANSEHEN</v>
      </c>
    </row>
    <row r="4869" spans="1:12" x14ac:dyDescent="0.2">
      <c r="A4869" t="s">
        <v>9826</v>
      </c>
      <c r="B4869" t="s">
        <v>9827</v>
      </c>
      <c r="C4869" t="s">
        <v>13</v>
      </c>
      <c r="E4869" t="s">
        <v>9291</v>
      </c>
      <c r="F4869">
        <v>4704</v>
      </c>
      <c r="G4869" t="s">
        <v>221</v>
      </c>
      <c r="H4869" t="s">
        <v>16</v>
      </c>
      <c r="I4869" t="s">
        <v>182</v>
      </c>
      <c r="J4869" t="s">
        <v>183</v>
      </c>
      <c r="K4869" t="s">
        <v>1809</v>
      </c>
      <c r="L4869" t="str">
        <f>HYPERLINK("https://business-monitor.ch/de/companies/995399-uf-emch-holding-ag?utm_source=oberaargau","PROFIL ANSEHEN")</f>
        <v>PROFIL ANSEHEN</v>
      </c>
    </row>
    <row r="4870" spans="1:12" x14ac:dyDescent="0.2">
      <c r="A4870" t="s">
        <v>6592</v>
      </c>
      <c r="B4870" t="s">
        <v>6593</v>
      </c>
      <c r="C4870" t="s">
        <v>1812</v>
      </c>
      <c r="E4870" t="s">
        <v>4596</v>
      </c>
      <c r="F4870">
        <v>3373</v>
      </c>
      <c r="G4870" t="s">
        <v>1640</v>
      </c>
      <c r="H4870" t="s">
        <v>16</v>
      </c>
      <c r="I4870" t="s">
        <v>2327</v>
      </c>
      <c r="J4870" t="s">
        <v>2328</v>
      </c>
      <c r="K4870" t="s">
        <v>1809</v>
      </c>
      <c r="L4870" t="str">
        <f>HYPERLINK("https://business-monitor.ch/de/companies/208421-gaertnerei-gruetter-roethenbach?utm_source=oberaargau","PROFIL ANSEHEN")</f>
        <v>PROFIL ANSEHEN</v>
      </c>
    </row>
    <row r="4871" spans="1:12" x14ac:dyDescent="0.2">
      <c r="A4871" t="s">
        <v>11164</v>
      </c>
      <c r="B4871" t="s">
        <v>11165</v>
      </c>
      <c r="C4871" t="s">
        <v>202</v>
      </c>
      <c r="E4871" t="s">
        <v>4464</v>
      </c>
      <c r="F4871">
        <v>4913</v>
      </c>
      <c r="G4871" t="s">
        <v>207</v>
      </c>
      <c r="H4871" t="s">
        <v>16</v>
      </c>
      <c r="I4871" t="s">
        <v>966</v>
      </c>
      <c r="J4871" t="s">
        <v>967</v>
      </c>
      <c r="K4871" t="s">
        <v>1809</v>
      </c>
      <c r="L4871" t="str">
        <f>HYPERLINK("https://business-monitor.ch/de/companies/1122987-jakob-generalunternehmung-gmbh?utm_source=oberaargau","PROFIL ANSEHEN")</f>
        <v>PROFIL ANSEHEN</v>
      </c>
    </row>
    <row r="4872" spans="1:12" x14ac:dyDescent="0.2">
      <c r="A4872" t="s">
        <v>13604</v>
      </c>
      <c r="B4872" t="s">
        <v>13605</v>
      </c>
      <c r="C4872" t="s">
        <v>202</v>
      </c>
      <c r="D4872" t="s">
        <v>13606</v>
      </c>
      <c r="E4872" t="s">
        <v>303</v>
      </c>
      <c r="F4872">
        <v>4900</v>
      </c>
      <c r="G4872" t="s">
        <v>41</v>
      </c>
      <c r="H4872" t="s">
        <v>16</v>
      </c>
      <c r="I4872" t="s">
        <v>1267</v>
      </c>
      <c r="J4872" t="s">
        <v>1268</v>
      </c>
      <c r="K4872" t="s">
        <v>1809</v>
      </c>
      <c r="L4872" t="str">
        <f>HYPERLINK("https://business-monitor.ch/de/companies/328441-lelo-gmbh?utm_source=oberaargau","PROFIL ANSEHEN")</f>
        <v>PROFIL ANSEHEN</v>
      </c>
    </row>
    <row r="4873" spans="1:12" x14ac:dyDescent="0.2">
      <c r="A4873" t="s">
        <v>8372</v>
      </c>
      <c r="B4873" t="s">
        <v>8373</v>
      </c>
      <c r="C4873" t="s">
        <v>1812</v>
      </c>
      <c r="E4873" t="s">
        <v>8374</v>
      </c>
      <c r="F4873">
        <v>4900</v>
      </c>
      <c r="G4873" t="s">
        <v>41</v>
      </c>
      <c r="H4873" t="s">
        <v>16</v>
      </c>
      <c r="I4873" t="s">
        <v>232</v>
      </c>
      <c r="J4873" t="s">
        <v>233</v>
      </c>
      <c r="K4873" t="s">
        <v>1809</v>
      </c>
      <c r="L4873" t="str">
        <f>HYPERLINK("https://business-monitor.ch/de/companies/129917-unternehmen-fuer-finanzfragen-heiniger?utm_source=oberaargau","PROFIL ANSEHEN")</f>
        <v>PROFIL ANSEHEN</v>
      </c>
    </row>
    <row r="4874" spans="1:12" x14ac:dyDescent="0.2">
      <c r="A4874" t="s">
        <v>8390</v>
      </c>
      <c r="B4874" t="s">
        <v>8391</v>
      </c>
      <c r="C4874" t="s">
        <v>202</v>
      </c>
      <c r="E4874" t="s">
        <v>8392</v>
      </c>
      <c r="F4874">
        <v>3366</v>
      </c>
      <c r="G4874" t="s">
        <v>2780</v>
      </c>
      <c r="H4874" t="s">
        <v>16</v>
      </c>
      <c r="I4874" t="s">
        <v>824</v>
      </c>
      <c r="J4874" t="s">
        <v>825</v>
      </c>
      <c r="K4874" t="s">
        <v>1809</v>
      </c>
      <c r="L4874" t="str">
        <f>HYPERLINK("https://business-monitor.ch/de/companies/47622-zihl-gmbh?utm_source=oberaargau","PROFIL ANSEHEN")</f>
        <v>PROFIL ANSEHEN</v>
      </c>
    </row>
    <row r="4875" spans="1:12" x14ac:dyDescent="0.2">
      <c r="A4875" t="s">
        <v>2069</v>
      </c>
      <c r="B4875" t="s">
        <v>2070</v>
      </c>
      <c r="C4875" t="s">
        <v>1812</v>
      </c>
      <c r="E4875" t="s">
        <v>12269</v>
      </c>
      <c r="F4875">
        <v>3362</v>
      </c>
      <c r="G4875" t="s">
        <v>47</v>
      </c>
      <c r="H4875" t="s">
        <v>16</v>
      </c>
      <c r="I4875" t="s">
        <v>464</v>
      </c>
      <c r="J4875" t="s">
        <v>465</v>
      </c>
      <c r="K4875" t="s">
        <v>1809</v>
      </c>
      <c r="L4875" t="str">
        <f>HYPERLINK("https://business-monitor.ch/de/companies/155481-peter-bruegger-transporte?utm_source=oberaargau","PROFIL ANSEHEN")</f>
        <v>PROFIL ANSEHEN</v>
      </c>
    </row>
    <row r="4876" spans="1:12" x14ac:dyDescent="0.2">
      <c r="A4876" t="s">
        <v>9392</v>
      </c>
      <c r="B4876" t="s">
        <v>9393</v>
      </c>
      <c r="C4876" t="s">
        <v>84</v>
      </c>
      <c r="D4876" t="s">
        <v>9394</v>
      </c>
      <c r="E4876" t="s">
        <v>9395</v>
      </c>
      <c r="F4876">
        <v>4922</v>
      </c>
      <c r="G4876" t="s">
        <v>1318</v>
      </c>
      <c r="H4876" t="s">
        <v>16</v>
      </c>
      <c r="I4876" t="s">
        <v>1409</v>
      </c>
      <c r="J4876" t="s">
        <v>1410</v>
      </c>
      <c r="K4876" t="s">
        <v>1809</v>
      </c>
      <c r="L4876" t="str">
        <f>HYPERLINK("https://business-monitor.ch/de/companies/54066-milchgenossenschaft-thunstetten-dorf?utm_source=oberaargau","PROFIL ANSEHEN")</f>
        <v>PROFIL ANSEHEN</v>
      </c>
    </row>
    <row r="4877" spans="1:12" x14ac:dyDescent="0.2">
      <c r="A4877" t="s">
        <v>3196</v>
      </c>
      <c r="B4877" t="s">
        <v>3197</v>
      </c>
      <c r="C4877" t="s">
        <v>1922</v>
      </c>
      <c r="D4877" t="s">
        <v>12235</v>
      </c>
      <c r="E4877" t="s">
        <v>98</v>
      </c>
      <c r="F4877">
        <v>4922</v>
      </c>
      <c r="G4877" t="s">
        <v>99</v>
      </c>
      <c r="H4877" t="s">
        <v>16</v>
      </c>
      <c r="I4877" t="s">
        <v>2116</v>
      </c>
      <c r="J4877" t="s">
        <v>2117</v>
      </c>
      <c r="K4877" t="s">
        <v>1809</v>
      </c>
      <c r="L4877" t="str">
        <f>HYPERLINK("https://business-monitor.ch/de/companies/288651-personalfuersorgestiftung-der-erbo-gruppe?utm_source=oberaargau","PROFIL ANSEHEN")</f>
        <v>PROFIL ANSEHEN</v>
      </c>
    </row>
    <row r="4878" spans="1:12" x14ac:dyDescent="0.2">
      <c r="A4878" t="s">
        <v>2162</v>
      </c>
      <c r="B4878" t="s">
        <v>2310</v>
      </c>
      <c r="C4878" t="s">
        <v>1812</v>
      </c>
      <c r="F4878">
        <v>4953</v>
      </c>
      <c r="G4878" t="s">
        <v>2311</v>
      </c>
      <c r="H4878" t="s">
        <v>16</v>
      </c>
      <c r="I4878" t="s">
        <v>679</v>
      </c>
      <c r="J4878" t="s">
        <v>680</v>
      </c>
      <c r="K4878" t="s">
        <v>1809</v>
      </c>
      <c r="L4878" t="str">
        <f>HYPERLINK("https://business-monitor.ch/de/companies/247324-peter-luethi-innenausbau?utm_source=oberaargau","PROFIL ANSEHEN")</f>
        <v>PROFIL ANSEHEN</v>
      </c>
    </row>
    <row r="4879" spans="1:12" x14ac:dyDescent="0.2">
      <c r="A4879" t="s">
        <v>2357</v>
      </c>
      <c r="B4879" t="s">
        <v>2358</v>
      </c>
      <c r="C4879" t="s">
        <v>1812</v>
      </c>
      <c r="E4879" t="s">
        <v>2359</v>
      </c>
      <c r="F4879">
        <v>4704</v>
      </c>
      <c r="G4879" t="s">
        <v>221</v>
      </c>
      <c r="H4879" t="s">
        <v>16</v>
      </c>
      <c r="I4879" t="s">
        <v>997</v>
      </c>
      <c r="J4879" t="s">
        <v>998</v>
      </c>
      <c r="K4879" t="s">
        <v>1809</v>
      </c>
      <c r="L4879" t="str">
        <f>HYPERLINK("https://business-monitor.ch/de/companies/158945-rudolf-gabi?utm_source=oberaargau","PROFIL ANSEHEN")</f>
        <v>PROFIL ANSEHEN</v>
      </c>
    </row>
    <row r="4880" spans="1:12" x14ac:dyDescent="0.2">
      <c r="A4880" t="s">
        <v>6552</v>
      </c>
      <c r="B4880" t="s">
        <v>6553</v>
      </c>
      <c r="C4880" t="s">
        <v>13</v>
      </c>
      <c r="E4880" t="s">
        <v>2099</v>
      </c>
      <c r="F4880">
        <v>4900</v>
      </c>
      <c r="G4880" t="s">
        <v>41</v>
      </c>
      <c r="H4880" t="s">
        <v>16</v>
      </c>
      <c r="I4880" t="s">
        <v>366</v>
      </c>
      <c r="J4880" t="s">
        <v>367</v>
      </c>
      <c r="K4880" t="s">
        <v>1809</v>
      </c>
      <c r="L4880" t="str">
        <f>HYPERLINK("https://business-monitor.ch/de/companies/229737-aktiva-wohnsiedlung-ag?utm_source=oberaargau","PROFIL ANSEHEN")</f>
        <v>PROFIL ANSEHEN</v>
      </c>
    </row>
    <row r="4881" spans="1:12" x14ac:dyDescent="0.2">
      <c r="A4881" t="s">
        <v>9620</v>
      </c>
      <c r="B4881" t="s">
        <v>9621</v>
      </c>
      <c r="C4881" t="s">
        <v>202</v>
      </c>
      <c r="E4881" t="s">
        <v>3598</v>
      </c>
      <c r="F4881">
        <v>4912</v>
      </c>
      <c r="G4881" t="s">
        <v>64</v>
      </c>
      <c r="H4881" t="s">
        <v>16</v>
      </c>
      <c r="I4881" t="s">
        <v>1324</v>
      </c>
      <c r="J4881" t="s">
        <v>1325</v>
      </c>
      <c r="K4881" t="s">
        <v>1809</v>
      </c>
      <c r="L4881" t="str">
        <f>HYPERLINK("https://business-monitor.ch/de/companies/543057-j-j-wassermann-gmbh?utm_source=oberaargau","PROFIL ANSEHEN")</f>
        <v>PROFIL ANSEHEN</v>
      </c>
    </row>
    <row r="4882" spans="1:12" x14ac:dyDescent="0.2">
      <c r="A4882" t="s">
        <v>8827</v>
      </c>
      <c r="B4882" t="s">
        <v>8828</v>
      </c>
      <c r="C4882" t="s">
        <v>202</v>
      </c>
      <c r="E4882" t="s">
        <v>8829</v>
      </c>
      <c r="F4882">
        <v>3365</v>
      </c>
      <c r="G4882" t="s">
        <v>1008</v>
      </c>
      <c r="H4882" t="s">
        <v>16</v>
      </c>
      <c r="I4882" t="s">
        <v>196</v>
      </c>
      <c r="J4882" t="s">
        <v>197</v>
      </c>
      <c r="K4882" t="s">
        <v>1809</v>
      </c>
      <c r="L4882" t="str">
        <f>HYPERLINK("https://business-monitor.ch/de/companies/338331-mcl-demontagen-gmbh?utm_source=oberaargau","PROFIL ANSEHEN")</f>
        <v>PROFIL ANSEHEN</v>
      </c>
    </row>
    <row r="4883" spans="1:12" x14ac:dyDescent="0.2">
      <c r="A4883" t="s">
        <v>2298</v>
      </c>
      <c r="B4883" t="s">
        <v>2299</v>
      </c>
      <c r="C4883" t="s">
        <v>1922</v>
      </c>
      <c r="D4883" t="s">
        <v>2300</v>
      </c>
      <c r="E4883" t="s">
        <v>2301</v>
      </c>
      <c r="F4883">
        <v>4914</v>
      </c>
      <c r="G4883" t="s">
        <v>105</v>
      </c>
      <c r="H4883" t="s">
        <v>16</v>
      </c>
      <c r="I4883" t="s">
        <v>2116</v>
      </c>
      <c r="J4883" t="s">
        <v>2117</v>
      </c>
      <c r="K4883" t="s">
        <v>1809</v>
      </c>
      <c r="L4883" t="str">
        <f>HYPERLINK("https://business-monitor.ch/de/companies/254657-wohlfahrtsstiftung-der-firma-gugelmann-cie-ag?utm_source=oberaargau","PROFIL ANSEHEN")</f>
        <v>PROFIL ANSEHEN</v>
      </c>
    </row>
    <row r="4884" spans="1:12" x14ac:dyDescent="0.2">
      <c r="A4884" t="s">
        <v>2339</v>
      </c>
      <c r="B4884" t="s">
        <v>3317</v>
      </c>
      <c r="C4884" t="s">
        <v>1812</v>
      </c>
      <c r="E4884" t="s">
        <v>3318</v>
      </c>
      <c r="F4884">
        <v>4704</v>
      </c>
      <c r="G4884" t="s">
        <v>221</v>
      </c>
      <c r="H4884" t="s">
        <v>16</v>
      </c>
      <c r="I4884" t="s">
        <v>1535</v>
      </c>
      <c r="J4884" t="s">
        <v>1536</v>
      </c>
      <c r="K4884" t="s">
        <v>1809</v>
      </c>
      <c r="L4884" t="str">
        <f>HYPERLINK("https://business-monitor.ch/de/companies/232249-erich-luethi-gartenbau?utm_source=oberaargau","PROFIL ANSEHEN")</f>
        <v>PROFIL ANSEHEN</v>
      </c>
    </row>
    <row r="4885" spans="1:12" x14ac:dyDescent="0.2">
      <c r="A4885" t="s">
        <v>8551</v>
      </c>
      <c r="B4885" t="s">
        <v>8552</v>
      </c>
      <c r="C4885" t="s">
        <v>202</v>
      </c>
      <c r="E4885" t="s">
        <v>2634</v>
      </c>
      <c r="F4885">
        <v>4932</v>
      </c>
      <c r="G4885" t="s">
        <v>325</v>
      </c>
      <c r="H4885" t="s">
        <v>16</v>
      </c>
      <c r="I4885" t="s">
        <v>2715</v>
      </c>
      <c r="J4885" t="s">
        <v>2716</v>
      </c>
      <c r="K4885" t="s">
        <v>1809</v>
      </c>
      <c r="L4885" t="str">
        <f>HYPERLINK("https://business-monitor.ch/de/companies/491415-dan-44-gmbh?utm_source=oberaargau","PROFIL ANSEHEN")</f>
        <v>PROFIL ANSEHEN</v>
      </c>
    </row>
    <row r="4886" spans="1:12" x14ac:dyDescent="0.2">
      <c r="A4886" t="s">
        <v>3898</v>
      </c>
      <c r="B4886" t="s">
        <v>3899</v>
      </c>
      <c r="C4886" t="s">
        <v>202</v>
      </c>
      <c r="E4886" t="s">
        <v>3900</v>
      </c>
      <c r="F4886">
        <v>4919</v>
      </c>
      <c r="G4886" t="s">
        <v>3489</v>
      </c>
      <c r="H4886" t="s">
        <v>16</v>
      </c>
      <c r="I4886" t="s">
        <v>824</v>
      </c>
      <c r="J4886" t="s">
        <v>825</v>
      </c>
      <c r="K4886" t="s">
        <v>1809</v>
      </c>
      <c r="L4886" t="str">
        <f>HYPERLINK("https://business-monitor.ch/de/companies/1011437-hofer-gastro-gmbh?utm_source=oberaargau","PROFIL ANSEHEN")</f>
        <v>PROFIL ANSEHEN</v>
      </c>
    </row>
    <row r="4887" spans="1:12" x14ac:dyDescent="0.2">
      <c r="A4887" t="s">
        <v>7594</v>
      </c>
      <c r="B4887" t="s">
        <v>7595</v>
      </c>
      <c r="C4887" t="s">
        <v>202</v>
      </c>
      <c r="E4887" t="s">
        <v>7596</v>
      </c>
      <c r="F4887">
        <v>4536</v>
      </c>
      <c r="G4887" t="s">
        <v>1395</v>
      </c>
      <c r="H4887" t="s">
        <v>16</v>
      </c>
      <c r="I4887" t="s">
        <v>24</v>
      </c>
      <c r="J4887" t="s">
        <v>25</v>
      </c>
      <c r="K4887" t="s">
        <v>1809</v>
      </c>
      <c r="L4887" t="str">
        <f>HYPERLINK("https://business-monitor.ch/de/companies/671307-gauch-consulting-gmbh?utm_source=oberaargau","PROFIL ANSEHEN")</f>
        <v>PROFIL ANSEHEN</v>
      </c>
    </row>
    <row r="4888" spans="1:12" x14ac:dyDescent="0.2">
      <c r="A4888" t="s">
        <v>13938</v>
      </c>
      <c r="B4888" t="s">
        <v>13939</v>
      </c>
      <c r="C4888" t="s">
        <v>202</v>
      </c>
      <c r="D4888" t="s">
        <v>13606</v>
      </c>
      <c r="E4888" t="s">
        <v>303</v>
      </c>
      <c r="F4888">
        <v>4900</v>
      </c>
      <c r="G4888" t="s">
        <v>41</v>
      </c>
      <c r="H4888" t="s">
        <v>16</v>
      </c>
      <c r="I4888" t="s">
        <v>671</v>
      </c>
      <c r="J4888" t="s">
        <v>672</v>
      </c>
      <c r="K4888" t="s">
        <v>1809</v>
      </c>
      <c r="L4888" t="str">
        <f>HYPERLINK("https://business-monitor.ch/de/companies/1273013-zeramed-gmbh?utm_source=oberaargau","PROFIL ANSEHEN")</f>
        <v>PROFIL ANSEHEN</v>
      </c>
    </row>
    <row r="4889" spans="1:12" x14ac:dyDescent="0.2">
      <c r="A4889" t="s">
        <v>14280</v>
      </c>
      <c r="B4889" t="s">
        <v>14281</v>
      </c>
      <c r="C4889" t="s">
        <v>13</v>
      </c>
      <c r="E4889" t="s">
        <v>12223</v>
      </c>
      <c r="F4889">
        <v>4950</v>
      </c>
      <c r="G4889" t="s">
        <v>15</v>
      </c>
      <c r="H4889" t="s">
        <v>16</v>
      </c>
      <c r="I4889" t="s">
        <v>4247</v>
      </c>
      <c r="J4889" t="s">
        <v>4248</v>
      </c>
      <c r="K4889" t="s">
        <v>1809</v>
      </c>
      <c r="L4889" t="str">
        <f>HYPERLINK("https://business-monitor.ch/de/companies/1293050-radiologie-berner-oberland-ag?utm_source=oberaargau","PROFIL ANSEHEN")</f>
        <v>PROFIL ANSEHEN</v>
      </c>
    </row>
    <row r="4890" spans="1:12" x14ac:dyDescent="0.2">
      <c r="A4890" t="s">
        <v>2040</v>
      </c>
      <c r="B4890" t="s">
        <v>2041</v>
      </c>
      <c r="C4890" t="s">
        <v>1812</v>
      </c>
      <c r="E4890" t="s">
        <v>2042</v>
      </c>
      <c r="F4890">
        <v>4900</v>
      </c>
      <c r="G4890" t="s">
        <v>41</v>
      </c>
      <c r="H4890" t="s">
        <v>16</v>
      </c>
      <c r="I4890" t="s">
        <v>824</v>
      </c>
      <c r="J4890" t="s">
        <v>825</v>
      </c>
      <c r="K4890" t="s">
        <v>1809</v>
      </c>
      <c r="L4890" t="str">
        <f>HYPERLINK("https://business-monitor.ch/de/companies/170915-c-meyer-moser?utm_source=oberaargau","PROFIL ANSEHEN")</f>
        <v>PROFIL ANSEHEN</v>
      </c>
    </row>
    <row r="4891" spans="1:12" x14ac:dyDescent="0.2">
      <c r="A4891" t="s">
        <v>11371</v>
      </c>
      <c r="B4891" t="s">
        <v>11372</v>
      </c>
      <c r="C4891" t="s">
        <v>13</v>
      </c>
      <c r="E4891" t="s">
        <v>2693</v>
      </c>
      <c r="F4891">
        <v>4901</v>
      </c>
      <c r="G4891" t="s">
        <v>41</v>
      </c>
      <c r="H4891" t="s">
        <v>16</v>
      </c>
      <c r="I4891" t="s">
        <v>1528</v>
      </c>
      <c r="J4891" t="s">
        <v>1529</v>
      </c>
      <c r="K4891" t="s">
        <v>1809</v>
      </c>
      <c r="L4891" t="str">
        <f>HYPERLINK("https://business-monitor.ch/de/companies/1137269-oliver-gafner-advokatur-notariat-ag?utm_source=oberaargau","PROFIL ANSEHEN")</f>
        <v>PROFIL ANSEHEN</v>
      </c>
    </row>
    <row r="4892" spans="1:12" x14ac:dyDescent="0.2">
      <c r="A4892" t="s">
        <v>8413</v>
      </c>
      <c r="B4892" t="s">
        <v>8414</v>
      </c>
      <c r="C4892" t="s">
        <v>13</v>
      </c>
      <c r="E4892" t="s">
        <v>8415</v>
      </c>
      <c r="F4892">
        <v>4952</v>
      </c>
      <c r="G4892" t="s">
        <v>474</v>
      </c>
      <c r="H4892" t="s">
        <v>16</v>
      </c>
      <c r="I4892" t="s">
        <v>781</v>
      </c>
      <c r="J4892" t="s">
        <v>782</v>
      </c>
      <c r="K4892" t="s">
        <v>1809</v>
      </c>
      <c r="L4892" t="str">
        <f>HYPERLINK("https://business-monitor.ch/de/companies/523823-hiltbrunner-landmaschinen-ag?utm_source=oberaargau","PROFIL ANSEHEN")</f>
        <v>PROFIL ANSEHEN</v>
      </c>
    </row>
    <row r="4893" spans="1:12" x14ac:dyDescent="0.2">
      <c r="A4893" t="s">
        <v>9549</v>
      </c>
      <c r="B4893" t="s">
        <v>9550</v>
      </c>
      <c r="C4893" t="s">
        <v>1812</v>
      </c>
      <c r="E4893" t="s">
        <v>5464</v>
      </c>
      <c r="F4893">
        <v>4537</v>
      </c>
      <c r="G4893" t="s">
        <v>113</v>
      </c>
      <c r="H4893" t="s">
        <v>16</v>
      </c>
      <c r="I4893" t="s">
        <v>1401</v>
      </c>
      <c r="J4893" t="s">
        <v>1402</v>
      </c>
      <c r="K4893" t="s">
        <v>1809</v>
      </c>
      <c r="L4893" t="str">
        <f>HYPERLINK("https://business-monitor.ch/de/companies/690783-blumen-tschan?utm_source=oberaargau","PROFIL ANSEHEN")</f>
        <v>PROFIL ANSEHEN</v>
      </c>
    </row>
    <row r="4894" spans="1:12" x14ac:dyDescent="0.2">
      <c r="A4894" t="s">
        <v>2189</v>
      </c>
      <c r="B4894" t="s">
        <v>2190</v>
      </c>
      <c r="C4894" t="s">
        <v>1812</v>
      </c>
      <c r="E4894" t="s">
        <v>2191</v>
      </c>
      <c r="F4894">
        <v>4932</v>
      </c>
      <c r="G4894" t="s">
        <v>325</v>
      </c>
      <c r="H4894" t="s">
        <v>16</v>
      </c>
      <c r="I4894" t="s">
        <v>2192</v>
      </c>
      <c r="J4894" t="s">
        <v>2193</v>
      </c>
      <c r="K4894" t="s">
        <v>1809</v>
      </c>
      <c r="L4894" t="str">
        <f>HYPERLINK("https://business-monitor.ch/de/companies/1079806-better-job-nikolic?utm_source=oberaargau","PROFIL ANSEHEN")</f>
        <v>PROFIL ANSEHEN</v>
      </c>
    </row>
    <row r="4895" spans="1:12" x14ac:dyDescent="0.2">
      <c r="A4895" t="s">
        <v>3708</v>
      </c>
      <c r="B4895" t="s">
        <v>3709</v>
      </c>
      <c r="C4895" t="s">
        <v>13</v>
      </c>
      <c r="D4895" t="s">
        <v>11221</v>
      </c>
      <c r="E4895" t="s">
        <v>1341</v>
      </c>
      <c r="F4895">
        <v>4900</v>
      </c>
      <c r="G4895" t="s">
        <v>41</v>
      </c>
      <c r="H4895" t="s">
        <v>16</v>
      </c>
      <c r="I4895" t="s">
        <v>182</v>
      </c>
      <c r="J4895" t="s">
        <v>183</v>
      </c>
      <c r="K4895" t="s">
        <v>1809</v>
      </c>
      <c r="L4895" t="str">
        <f>HYPERLINK("https://business-monitor.ch/de/companies/1057680-geiser-logistik-holding-ag?utm_source=oberaargau","PROFIL ANSEHEN")</f>
        <v>PROFIL ANSEHEN</v>
      </c>
    </row>
    <row r="4896" spans="1:12" x14ac:dyDescent="0.2">
      <c r="A4896" t="s">
        <v>2285</v>
      </c>
      <c r="B4896" t="s">
        <v>2286</v>
      </c>
      <c r="C4896" t="s">
        <v>1922</v>
      </c>
      <c r="D4896" t="s">
        <v>2287</v>
      </c>
      <c r="E4896" t="s">
        <v>14687</v>
      </c>
      <c r="F4896">
        <v>4900</v>
      </c>
      <c r="G4896" t="s">
        <v>41</v>
      </c>
      <c r="H4896" t="s">
        <v>16</v>
      </c>
      <c r="I4896" t="s">
        <v>1924</v>
      </c>
      <c r="J4896" t="s">
        <v>1925</v>
      </c>
      <c r="K4896" t="s">
        <v>1809</v>
      </c>
      <c r="L4896" t="str">
        <f>HYPERLINK("https://business-monitor.ch/de/companies/280748-waessermatten-stiftung?utm_source=oberaargau","PROFIL ANSEHEN")</f>
        <v>PROFIL ANSEHEN</v>
      </c>
    </row>
    <row r="4897" spans="1:12" x14ac:dyDescent="0.2">
      <c r="A4897" t="s">
        <v>1920</v>
      </c>
      <c r="B4897" t="s">
        <v>1921</v>
      </c>
      <c r="C4897" t="s">
        <v>1922</v>
      </c>
      <c r="F4897">
        <v>4917</v>
      </c>
      <c r="G4897" t="s">
        <v>376</v>
      </c>
      <c r="H4897" t="s">
        <v>16</v>
      </c>
      <c r="I4897" t="s">
        <v>1924</v>
      </c>
      <c r="J4897" t="s">
        <v>1925</v>
      </c>
      <c r="K4897" t="s">
        <v>1809</v>
      </c>
      <c r="L4897" t="str">
        <f>HYPERLINK("https://business-monitor.ch/de/companies/281844-jakob-kaeser-stiftung-melchnau-busswil?utm_source=oberaargau","PROFIL ANSEHEN")</f>
        <v>PROFIL ANSEHEN</v>
      </c>
    </row>
    <row r="4898" spans="1:12" x14ac:dyDescent="0.2">
      <c r="A4898" t="s">
        <v>6422</v>
      </c>
      <c r="B4898" t="s">
        <v>6423</v>
      </c>
      <c r="C4898" t="s">
        <v>1812</v>
      </c>
      <c r="E4898" t="s">
        <v>6424</v>
      </c>
      <c r="F4898">
        <v>4950</v>
      </c>
      <c r="G4898" t="s">
        <v>15</v>
      </c>
      <c r="H4898" t="s">
        <v>16</v>
      </c>
      <c r="I4898" t="s">
        <v>574</v>
      </c>
      <c r="J4898" t="s">
        <v>575</v>
      </c>
      <c r="K4898" t="s">
        <v>1809</v>
      </c>
      <c r="L4898" t="str">
        <f>HYPERLINK("https://business-monitor.ch/de/companies/283620-w-grossenbacher?utm_source=oberaargau","PROFIL ANSEHEN")</f>
        <v>PROFIL ANSEHEN</v>
      </c>
    </row>
    <row r="4899" spans="1:12" x14ac:dyDescent="0.2">
      <c r="A4899" t="s">
        <v>9310</v>
      </c>
      <c r="B4899" t="s">
        <v>9311</v>
      </c>
      <c r="C4899" t="s">
        <v>13</v>
      </c>
      <c r="E4899" t="s">
        <v>9312</v>
      </c>
      <c r="F4899">
        <v>4914</v>
      </c>
      <c r="G4899" t="s">
        <v>105</v>
      </c>
      <c r="H4899" t="s">
        <v>16</v>
      </c>
      <c r="I4899" t="s">
        <v>935</v>
      </c>
      <c r="J4899" t="s">
        <v>936</v>
      </c>
      <c r="K4899" t="s">
        <v>1809</v>
      </c>
      <c r="L4899" t="str">
        <f>HYPERLINK("https://business-monitor.ch/de/companies/80822-meyer-immobilien-ag-roggwil?utm_source=oberaargau","PROFIL ANSEHEN")</f>
        <v>PROFIL ANSEHEN</v>
      </c>
    </row>
    <row r="4900" spans="1:12" x14ac:dyDescent="0.2">
      <c r="A4900" t="s">
        <v>3490</v>
      </c>
      <c r="B4900" t="s">
        <v>3491</v>
      </c>
      <c r="C4900" t="s">
        <v>1812</v>
      </c>
      <c r="E4900" t="s">
        <v>3492</v>
      </c>
      <c r="F4900">
        <v>4923</v>
      </c>
      <c r="G4900" t="s">
        <v>732</v>
      </c>
      <c r="H4900" t="s">
        <v>16</v>
      </c>
      <c r="I4900" t="s">
        <v>2414</v>
      </c>
      <c r="J4900" t="s">
        <v>2415</v>
      </c>
      <c r="K4900" t="s">
        <v>1809</v>
      </c>
      <c r="L4900" t="str">
        <f>HYPERLINK("https://business-monitor.ch/de/companies/170717-hans-loeffel?utm_source=oberaargau","PROFIL ANSEHEN")</f>
        <v>PROFIL ANSEHEN</v>
      </c>
    </row>
    <row r="4901" spans="1:12" x14ac:dyDescent="0.2">
      <c r="A4901" t="s">
        <v>6668</v>
      </c>
      <c r="B4901" t="s">
        <v>6669</v>
      </c>
      <c r="C4901" t="s">
        <v>13</v>
      </c>
      <c r="E4901" t="s">
        <v>6670</v>
      </c>
      <c r="F4901">
        <v>4538</v>
      </c>
      <c r="G4901" t="s">
        <v>71</v>
      </c>
      <c r="H4901" t="s">
        <v>16</v>
      </c>
      <c r="I4901" t="s">
        <v>913</v>
      </c>
      <c r="J4901" t="s">
        <v>914</v>
      </c>
      <c r="K4901" t="s">
        <v>1809</v>
      </c>
      <c r="L4901" t="str">
        <f>HYPERLINK("https://business-monitor.ch/de/companies/173671-autohus-bipp-ag?utm_source=oberaargau","PROFIL ANSEHEN")</f>
        <v>PROFIL ANSEHEN</v>
      </c>
    </row>
    <row r="4902" spans="1:12" x14ac:dyDescent="0.2">
      <c r="A4902" t="s">
        <v>9074</v>
      </c>
      <c r="B4902" t="s">
        <v>9075</v>
      </c>
      <c r="C4902" t="s">
        <v>1827</v>
      </c>
      <c r="E4902" t="s">
        <v>5751</v>
      </c>
      <c r="F4902">
        <v>4950</v>
      </c>
      <c r="G4902" t="s">
        <v>15</v>
      </c>
      <c r="H4902" t="s">
        <v>16</v>
      </c>
      <c r="I4902" t="s">
        <v>157</v>
      </c>
      <c r="J4902" t="s">
        <v>158</v>
      </c>
      <c r="K4902" t="s">
        <v>1809</v>
      </c>
      <c r="L4902" t="str">
        <f>HYPERLINK("https://business-monitor.ch/de/companies/173834-gebr-b-c-keller-inhaber-b-e-keller?utm_source=oberaargau","PROFIL ANSEHEN")</f>
        <v>PROFIL ANSEHEN</v>
      </c>
    </row>
    <row r="4903" spans="1:12" x14ac:dyDescent="0.2">
      <c r="A4903" t="s">
        <v>6398</v>
      </c>
      <c r="B4903" t="s">
        <v>6399</v>
      </c>
      <c r="C4903" t="s">
        <v>202</v>
      </c>
      <c r="E4903" t="s">
        <v>6400</v>
      </c>
      <c r="F4903">
        <v>4538</v>
      </c>
      <c r="G4903" t="s">
        <v>71</v>
      </c>
      <c r="H4903" t="s">
        <v>16</v>
      </c>
      <c r="I4903" t="s">
        <v>167</v>
      </c>
      <c r="J4903" t="s">
        <v>168</v>
      </c>
      <c r="K4903" t="s">
        <v>1809</v>
      </c>
      <c r="L4903" t="str">
        <f>HYPERLINK("https://business-monitor.ch/de/companies/292167-sollberger-bau-gmbh?utm_source=oberaargau","PROFIL ANSEHEN")</f>
        <v>PROFIL ANSEHEN</v>
      </c>
    </row>
    <row r="4904" spans="1:12" x14ac:dyDescent="0.2">
      <c r="A4904" t="s">
        <v>5225</v>
      </c>
      <c r="B4904" t="s">
        <v>5226</v>
      </c>
      <c r="C4904" t="s">
        <v>13</v>
      </c>
      <c r="E4904" t="s">
        <v>5227</v>
      </c>
      <c r="F4904">
        <v>4900</v>
      </c>
      <c r="G4904" t="s">
        <v>41</v>
      </c>
      <c r="H4904" t="s">
        <v>16</v>
      </c>
      <c r="I4904" t="s">
        <v>1528</v>
      </c>
      <c r="J4904" t="s">
        <v>1529</v>
      </c>
      <c r="K4904" t="s">
        <v>1809</v>
      </c>
      <c r="L4904" t="str">
        <f>HYPERLINK("https://business-monitor.ch/de/companies/1087410-martin-stauffer-rechtsberatungen-ag?utm_source=oberaargau","PROFIL ANSEHEN")</f>
        <v>PROFIL ANSEHEN</v>
      </c>
    </row>
    <row r="4905" spans="1:12" x14ac:dyDescent="0.2">
      <c r="A4905" t="s">
        <v>9071</v>
      </c>
      <c r="B4905" t="s">
        <v>9072</v>
      </c>
      <c r="C4905" t="s">
        <v>13</v>
      </c>
      <c r="E4905" t="s">
        <v>8017</v>
      </c>
      <c r="F4905">
        <v>4902</v>
      </c>
      <c r="G4905" t="s">
        <v>41</v>
      </c>
      <c r="H4905" t="s">
        <v>16</v>
      </c>
      <c r="I4905" t="s">
        <v>1296</v>
      </c>
      <c r="J4905" t="s">
        <v>1297</v>
      </c>
      <c r="K4905" t="s">
        <v>1809</v>
      </c>
      <c r="L4905" t="str">
        <f>HYPERLINK("https://business-monitor.ch/de/companies/181353-studio-uf-partner-ag?utm_source=oberaargau","PROFIL ANSEHEN")</f>
        <v>PROFIL ANSEHEN</v>
      </c>
    </row>
    <row r="4906" spans="1:12" x14ac:dyDescent="0.2">
      <c r="A4906" t="s">
        <v>7737</v>
      </c>
      <c r="B4906" t="s">
        <v>7738</v>
      </c>
      <c r="C4906" t="s">
        <v>13</v>
      </c>
      <c r="E4906" t="s">
        <v>5657</v>
      </c>
      <c r="F4906">
        <v>4943</v>
      </c>
      <c r="G4906" t="s">
        <v>1022</v>
      </c>
      <c r="H4906" t="s">
        <v>16</v>
      </c>
      <c r="I4906" t="s">
        <v>157</v>
      </c>
      <c r="J4906" t="s">
        <v>158</v>
      </c>
      <c r="K4906" t="s">
        <v>1809</v>
      </c>
      <c r="L4906" t="str">
        <f>HYPERLINK("https://business-monitor.ch/de/companies/588296-berger-spaetig-immobilien-ag?utm_source=oberaargau","PROFIL ANSEHEN")</f>
        <v>PROFIL ANSEHEN</v>
      </c>
    </row>
    <row r="4907" spans="1:12" x14ac:dyDescent="0.2">
      <c r="A4907" t="s">
        <v>8893</v>
      </c>
      <c r="B4907" t="s">
        <v>8894</v>
      </c>
      <c r="C4907" t="s">
        <v>1812</v>
      </c>
      <c r="E4907" t="s">
        <v>5878</v>
      </c>
      <c r="F4907">
        <v>4704</v>
      </c>
      <c r="G4907" t="s">
        <v>221</v>
      </c>
      <c r="H4907" t="s">
        <v>16</v>
      </c>
      <c r="I4907" t="s">
        <v>1936</v>
      </c>
      <c r="J4907" t="s">
        <v>1937</v>
      </c>
      <c r="K4907" t="s">
        <v>1809</v>
      </c>
      <c r="L4907" t="str">
        <f>HYPERLINK("https://business-monitor.ch/de/companies/295892-soom-consulting?utm_source=oberaargau","PROFIL ANSEHEN")</f>
        <v>PROFIL ANSEHEN</v>
      </c>
    </row>
    <row r="4908" spans="1:12" x14ac:dyDescent="0.2">
      <c r="A4908" t="s">
        <v>4089</v>
      </c>
      <c r="B4908" t="s">
        <v>4090</v>
      </c>
      <c r="C4908" t="s">
        <v>13</v>
      </c>
      <c r="E4908" t="s">
        <v>4091</v>
      </c>
      <c r="F4908">
        <v>4922</v>
      </c>
      <c r="G4908" t="s">
        <v>99</v>
      </c>
      <c r="H4908" t="s">
        <v>16</v>
      </c>
      <c r="I4908" t="s">
        <v>186</v>
      </c>
      <c r="J4908" t="s">
        <v>187</v>
      </c>
      <c r="K4908" t="s">
        <v>1809</v>
      </c>
      <c r="L4908" t="str">
        <f>HYPERLINK("https://business-monitor.ch/de/companies/1043312-welschland-ag?utm_source=oberaargau","PROFIL ANSEHEN")</f>
        <v>PROFIL ANSEHEN</v>
      </c>
    </row>
    <row r="4909" spans="1:12" x14ac:dyDescent="0.2">
      <c r="A4909" t="s">
        <v>10545</v>
      </c>
      <c r="B4909" t="s">
        <v>10546</v>
      </c>
      <c r="C4909" t="s">
        <v>13</v>
      </c>
      <c r="E4909" t="s">
        <v>1021</v>
      </c>
      <c r="F4909">
        <v>4943</v>
      </c>
      <c r="G4909" t="s">
        <v>1022</v>
      </c>
      <c r="H4909" t="s">
        <v>16</v>
      </c>
      <c r="I4909" t="s">
        <v>167</v>
      </c>
      <c r="J4909" t="s">
        <v>168</v>
      </c>
      <c r="K4909" t="s">
        <v>1809</v>
      </c>
      <c r="L4909" t="str">
        <f>HYPERLINK("https://business-monitor.ch/de/companies/1088061-schneeberger-baugeschaeft-ag?utm_source=oberaargau","PROFIL ANSEHEN")</f>
        <v>PROFIL ANSEHEN</v>
      </c>
    </row>
    <row r="4910" spans="1:12" x14ac:dyDescent="0.2">
      <c r="A4910" t="s">
        <v>2386</v>
      </c>
      <c r="B4910" t="s">
        <v>2387</v>
      </c>
      <c r="C4910" t="s">
        <v>84</v>
      </c>
      <c r="D4910" t="s">
        <v>2388</v>
      </c>
      <c r="E4910" t="s">
        <v>2389</v>
      </c>
      <c r="F4910">
        <v>3365</v>
      </c>
      <c r="G4910" t="s">
        <v>2390</v>
      </c>
      <c r="H4910" t="s">
        <v>16</v>
      </c>
      <c r="I4910" t="s">
        <v>2391</v>
      </c>
      <c r="J4910" t="s">
        <v>2392</v>
      </c>
      <c r="K4910" t="s">
        <v>1809</v>
      </c>
      <c r="L4910" t="str">
        <f>HYPERLINK("https://business-monitor.ch/de/companies/65320-maschinengenossenschaft-grasswil-seeberg?utm_source=oberaargau","PROFIL ANSEHEN")</f>
        <v>PROFIL ANSEHEN</v>
      </c>
    </row>
    <row r="4911" spans="1:12" x14ac:dyDescent="0.2">
      <c r="A4911" t="s">
        <v>10625</v>
      </c>
      <c r="B4911" t="s">
        <v>10626</v>
      </c>
      <c r="C4911" t="s">
        <v>1922</v>
      </c>
      <c r="D4911" t="s">
        <v>10627</v>
      </c>
      <c r="E4911" t="s">
        <v>424</v>
      </c>
      <c r="F4911">
        <v>4900</v>
      </c>
      <c r="G4911" t="s">
        <v>41</v>
      </c>
      <c r="H4911" t="s">
        <v>16</v>
      </c>
      <c r="I4911" t="s">
        <v>1924</v>
      </c>
      <c r="J4911" t="s">
        <v>1925</v>
      </c>
      <c r="K4911" t="s">
        <v>1809</v>
      </c>
      <c r="L4911" t="str">
        <f>HYPERLINK("https://business-monitor.ch/de/companies/1080308-stiftung-pro-haslibrunnen?utm_source=oberaargau","PROFIL ANSEHEN")</f>
        <v>PROFIL ANSEHEN</v>
      </c>
    </row>
    <row r="4912" spans="1:12" x14ac:dyDescent="0.2">
      <c r="A4912" t="s">
        <v>6131</v>
      </c>
      <c r="B4912" t="s">
        <v>6132</v>
      </c>
      <c r="C4912" t="s">
        <v>1812</v>
      </c>
      <c r="E4912" t="s">
        <v>6133</v>
      </c>
      <c r="F4912">
        <v>3373</v>
      </c>
      <c r="G4912" t="s">
        <v>2697</v>
      </c>
      <c r="H4912" t="s">
        <v>16</v>
      </c>
      <c r="I4912" t="s">
        <v>679</v>
      </c>
      <c r="J4912" t="s">
        <v>680</v>
      </c>
      <c r="K4912" t="s">
        <v>1809</v>
      </c>
      <c r="L4912" t="str">
        <f>HYPERLINK("https://business-monitor.ch/de/companies/158451-schreinerei-leuenberger?utm_source=oberaargau","PROFIL ANSEHEN")</f>
        <v>PROFIL ANSEHEN</v>
      </c>
    </row>
    <row r="4913" spans="1:12" x14ac:dyDescent="0.2">
      <c r="A4913" t="s">
        <v>14688</v>
      </c>
      <c r="B4913" t="s">
        <v>14689</v>
      </c>
      <c r="C4913" t="s">
        <v>202</v>
      </c>
      <c r="E4913" t="s">
        <v>14690</v>
      </c>
      <c r="F4913">
        <v>4934</v>
      </c>
      <c r="G4913" t="s">
        <v>670</v>
      </c>
      <c r="H4913" t="s">
        <v>16</v>
      </c>
      <c r="I4913" t="s">
        <v>186</v>
      </c>
      <c r="J4913" t="s">
        <v>187</v>
      </c>
      <c r="K4913" t="s">
        <v>1809</v>
      </c>
      <c r="L4913" t="str">
        <f>HYPERLINK("https://business-monitor.ch/de/companies/1304146-triplec-group-gmbh?utm_source=oberaargau","PROFIL ANSEHEN")</f>
        <v>PROFIL ANSEHEN</v>
      </c>
    </row>
    <row r="4914" spans="1:12" x14ac:dyDescent="0.2">
      <c r="A4914" t="s">
        <v>11104</v>
      </c>
      <c r="B4914" t="s">
        <v>11105</v>
      </c>
      <c r="C4914" t="s">
        <v>1812</v>
      </c>
      <c r="E4914" t="s">
        <v>11106</v>
      </c>
      <c r="F4914">
        <v>4950</v>
      </c>
      <c r="G4914" t="s">
        <v>15</v>
      </c>
      <c r="H4914" t="s">
        <v>16</v>
      </c>
      <c r="I4914" t="s">
        <v>433</v>
      </c>
      <c r="J4914" t="s">
        <v>434</v>
      </c>
      <c r="K4914" t="s">
        <v>1809</v>
      </c>
      <c r="L4914" t="str">
        <f>HYPERLINK("https://business-monitor.ch/de/companies/1113650-holenweg-tech?utm_source=oberaargau","PROFIL ANSEHEN")</f>
        <v>PROFIL ANSEHEN</v>
      </c>
    </row>
    <row r="4915" spans="1:12" x14ac:dyDescent="0.2">
      <c r="A4915" t="s">
        <v>2593</v>
      </c>
      <c r="B4915" t="s">
        <v>14235</v>
      </c>
      <c r="C4915" t="s">
        <v>2178</v>
      </c>
      <c r="E4915" t="s">
        <v>166</v>
      </c>
      <c r="F4915">
        <v>4900</v>
      </c>
      <c r="G4915" t="s">
        <v>41</v>
      </c>
      <c r="H4915" t="s">
        <v>16</v>
      </c>
      <c r="I4915" t="s">
        <v>1274</v>
      </c>
      <c r="J4915" t="s">
        <v>1275</v>
      </c>
      <c r="K4915" t="s">
        <v>1809</v>
      </c>
      <c r="L4915" t="str">
        <f>HYPERLINK("https://business-monitor.ch/de/companies/1075691-ecostreet-ag?utm_source=oberaargau","PROFIL ANSEHEN")</f>
        <v>PROFIL ANSEHEN</v>
      </c>
    </row>
    <row r="4916" spans="1:12" x14ac:dyDescent="0.2">
      <c r="A4916" t="s">
        <v>8293</v>
      </c>
      <c r="B4916" t="s">
        <v>8294</v>
      </c>
      <c r="C4916" t="s">
        <v>202</v>
      </c>
      <c r="E4916" t="s">
        <v>14691</v>
      </c>
      <c r="F4916">
        <v>3368</v>
      </c>
      <c r="G4916" t="s">
        <v>308</v>
      </c>
      <c r="H4916" t="s">
        <v>16</v>
      </c>
      <c r="I4916" t="s">
        <v>662</v>
      </c>
      <c r="J4916" t="s">
        <v>663</v>
      </c>
      <c r="K4916" t="s">
        <v>1809</v>
      </c>
      <c r="L4916" t="str">
        <f>HYPERLINK("https://business-monitor.ch/de/companies/732321-reinmann-gebaeudehuelle-gmbh?utm_source=oberaargau","PROFIL ANSEHEN")</f>
        <v>PROFIL ANSEHEN</v>
      </c>
    </row>
    <row r="4917" spans="1:12" x14ac:dyDescent="0.2">
      <c r="A4917" t="s">
        <v>1900</v>
      </c>
      <c r="B4917" t="s">
        <v>10377</v>
      </c>
      <c r="C4917" t="s">
        <v>1812</v>
      </c>
      <c r="E4917" t="s">
        <v>10378</v>
      </c>
      <c r="F4917">
        <v>4954</v>
      </c>
      <c r="G4917" t="s">
        <v>359</v>
      </c>
      <c r="H4917" t="s">
        <v>16</v>
      </c>
      <c r="I4917" t="s">
        <v>196</v>
      </c>
      <c r="J4917" t="s">
        <v>197</v>
      </c>
      <c r="K4917" t="s">
        <v>1809</v>
      </c>
      <c r="L4917" t="str">
        <f>HYPERLINK("https://business-monitor.ch/de/companies/368520-sommer-abbruch-und-baggerarbeiten?utm_source=oberaargau","PROFIL ANSEHEN")</f>
        <v>PROFIL ANSEHEN</v>
      </c>
    </row>
    <row r="4918" spans="1:12" x14ac:dyDescent="0.2">
      <c r="A4918" t="s">
        <v>3392</v>
      </c>
      <c r="B4918" t="s">
        <v>3393</v>
      </c>
      <c r="C4918" t="s">
        <v>1812</v>
      </c>
      <c r="E4918" t="s">
        <v>3394</v>
      </c>
      <c r="F4918">
        <v>3366</v>
      </c>
      <c r="G4918" t="s">
        <v>2780</v>
      </c>
      <c r="H4918" t="s">
        <v>16</v>
      </c>
      <c r="I4918" t="s">
        <v>24</v>
      </c>
      <c r="J4918" t="s">
        <v>25</v>
      </c>
      <c r="K4918" t="s">
        <v>1809</v>
      </c>
      <c r="L4918" t="str">
        <f>HYPERLINK("https://business-monitor.ch/de/companies/188143-bic-burri-informatik-consulting?utm_source=oberaargau","PROFIL ANSEHEN")</f>
        <v>PROFIL ANSEHEN</v>
      </c>
    </row>
    <row r="4919" spans="1:12" x14ac:dyDescent="0.2">
      <c r="A4919" t="s">
        <v>10705</v>
      </c>
      <c r="B4919" t="s">
        <v>10706</v>
      </c>
      <c r="C4919" t="s">
        <v>1812</v>
      </c>
      <c r="E4919" t="s">
        <v>6080</v>
      </c>
      <c r="F4919">
        <v>4537</v>
      </c>
      <c r="G4919" t="s">
        <v>113</v>
      </c>
      <c r="H4919" t="s">
        <v>16</v>
      </c>
      <c r="I4919" t="s">
        <v>175</v>
      </c>
      <c r="J4919" t="s">
        <v>176</v>
      </c>
      <c r="K4919" t="s">
        <v>1809</v>
      </c>
      <c r="L4919" t="str">
        <f>HYPERLINK("https://business-monitor.ch/de/companies/312048-automalerei-r-probst?utm_source=oberaargau","PROFIL ANSEHEN")</f>
        <v>PROFIL ANSEHEN</v>
      </c>
    </row>
    <row r="4920" spans="1:12" x14ac:dyDescent="0.2">
      <c r="A4920" t="s">
        <v>8849</v>
      </c>
      <c r="B4920" t="s">
        <v>8850</v>
      </c>
      <c r="C4920" t="s">
        <v>84</v>
      </c>
      <c r="D4920" t="s">
        <v>12075</v>
      </c>
      <c r="E4920" t="s">
        <v>12076</v>
      </c>
      <c r="F4920">
        <v>4934</v>
      </c>
      <c r="G4920" t="s">
        <v>670</v>
      </c>
      <c r="H4920" t="s">
        <v>16</v>
      </c>
      <c r="I4920" t="s">
        <v>366</v>
      </c>
      <c r="J4920" t="s">
        <v>367</v>
      </c>
      <c r="K4920" t="s">
        <v>1809</v>
      </c>
      <c r="L4920" t="str">
        <f>HYPERLINK("https://business-monitor.ch/de/companies/322327-im-zelgli-wohnen-im-alter-genossenschaft?utm_source=oberaargau","PROFIL ANSEHEN")</f>
        <v>PROFIL ANSEHEN</v>
      </c>
    </row>
    <row r="4921" spans="1:12" x14ac:dyDescent="0.2">
      <c r="A4921" t="s">
        <v>8101</v>
      </c>
      <c r="B4921" t="s">
        <v>8102</v>
      </c>
      <c r="C4921" t="s">
        <v>1812</v>
      </c>
      <c r="E4921" t="s">
        <v>8103</v>
      </c>
      <c r="F4921">
        <v>3360</v>
      </c>
      <c r="G4921" t="s">
        <v>35</v>
      </c>
      <c r="H4921" t="s">
        <v>16</v>
      </c>
      <c r="I4921" t="s">
        <v>519</v>
      </c>
      <c r="J4921" t="s">
        <v>520</v>
      </c>
      <c r="K4921" t="s">
        <v>1809</v>
      </c>
      <c r="L4921" t="str">
        <f>HYPERLINK("https://business-monitor.ch/de/companies/1061631-papierstube-brigitte-pacitto?utm_source=oberaargau","PROFIL ANSEHEN")</f>
        <v>PROFIL ANSEHEN</v>
      </c>
    </row>
    <row r="4922" spans="1:12" x14ac:dyDescent="0.2">
      <c r="A4922" t="s">
        <v>2218</v>
      </c>
      <c r="B4922" t="s">
        <v>2219</v>
      </c>
      <c r="C4922" t="s">
        <v>202</v>
      </c>
      <c r="E4922" t="s">
        <v>14127</v>
      </c>
      <c r="F4922">
        <v>4922</v>
      </c>
      <c r="G4922" t="s">
        <v>99</v>
      </c>
      <c r="H4922" t="s">
        <v>16</v>
      </c>
      <c r="I4922" t="s">
        <v>1993</v>
      </c>
      <c r="J4922" t="s">
        <v>1994</v>
      </c>
      <c r="K4922" t="s">
        <v>1809</v>
      </c>
      <c r="L4922" t="str">
        <f>HYPERLINK("https://business-monitor.ch/de/companies/1064348-classichomes-gmbh?utm_source=oberaargau","PROFIL ANSEHEN")</f>
        <v>PROFIL ANSEHEN</v>
      </c>
    </row>
    <row r="4923" spans="1:12" x14ac:dyDescent="0.2">
      <c r="A4923" t="s">
        <v>6128</v>
      </c>
      <c r="B4923" t="s">
        <v>6129</v>
      </c>
      <c r="C4923" t="s">
        <v>1812</v>
      </c>
      <c r="E4923" t="s">
        <v>6130</v>
      </c>
      <c r="F4923">
        <v>3367</v>
      </c>
      <c r="G4923" t="s">
        <v>455</v>
      </c>
      <c r="H4923" t="s">
        <v>16</v>
      </c>
      <c r="I4923" t="s">
        <v>570</v>
      </c>
      <c r="J4923" t="s">
        <v>571</v>
      </c>
      <c r="K4923" t="s">
        <v>1809</v>
      </c>
      <c r="L4923" t="str">
        <f>HYPERLINK("https://business-monitor.ch/de/companies/1064671-chemi-wolf-feuerungskontrolle-inh-r-landolf?utm_source=oberaargau","PROFIL ANSEHEN")</f>
        <v>PROFIL ANSEHEN</v>
      </c>
    </row>
    <row r="4924" spans="1:12" x14ac:dyDescent="0.2">
      <c r="A4924" t="s">
        <v>1316</v>
      </c>
      <c r="B4924" t="s">
        <v>5387</v>
      </c>
      <c r="C4924" t="s">
        <v>1812</v>
      </c>
      <c r="E4924" t="s">
        <v>5388</v>
      </c>
      <c r="F4924">
        <v>4950</v>
      </c>
      <c r="G4924" t="s">
        <v>15</v>
      </c>
      <c r="H4924" t="s">
        <v>16</v>
      </c>
      <c r="I4924" t="s">
        <v>5389</v>
      </c>
      <c r="J4924" t="s">
        <v>5390</v>
      </c>
      <c r="K4924" t="s">
        <v>1809</v>
      </c>
      <c r="L4924" t="str">
        <f>HYPERLINK("https://business-monitor.ch/de/companies/332768-glanzmann-investment?utm_source=oberaargau","PROFIL ANSEHEN")</f>
        <v>PROFIL ANSEHEN</v>
      </c>
    </row>
    <row r="4925" spans="1:12" x14ac:dyDescent="0.2">
      <c r="A4925" t="s">
        <v>14692</v>
      </c>
      <c r="B4925" t="s">
        <v>14693</v>
      </c>
      <c r="C4925" t="s">
        <v>1812</v>
      </c>
      <c r="E4925" t="s">
        <v>1400</v>
      </c>
      <c r="F4925">
        <v>4704</v>
      </c>
      <c r="G4925" t="s">
        <v>221</v>
      </c>
      <c r="H4925" t="s">
        <v>16</v>
      </c>
      <c r="I4925" t="s">
        <v>748</v>
      </c>
      <c r="J4925" t="s">
        <v>749</v>
      </c>
      <c r="K4925" t="s">
        <v>1809</v>
      </c>
      <c r="L4925" t="str">
        <f>HYPERLINK("https://business-monitor.ch/de/companies/1302769-sk-maler-inhaber-koc?utm_source=oberaargau","PROFIL ANSEHEN")</f>
        <v>PROFIL ANSEHEN</v>
      </c>
    </row>
    <row r="4926" spans="1:12" x14ac:dyDescent="0.2">
      <c r="A4926" t="s">
        <v>14694</v>
      </c>
      <c r="B4926" t="s">
        <v>14695</v>
      </c>
      <c r="C4926" t="s">
        <v>202</v>
      </c>
      <c r="E4926" t="s">
        <v>13975</v>
      </c>
      <c r="F4926">
        <v>4914</v>
      </c>
      <c r="G4926" t="s">
        <v>105</v>
      </c>
      <c r="H4926" t="s">
        <v>16</v>
      </c>
      <c r="I4926" t="s">
        <v>748</v>
      </c>
      <c r="J4926" t="s">
        <v>749</v>
      </c>
      <c r="K4926" t="s">
        <v>1809</v>
      </c>
      <c r="L4926" t="str">
        <f>HYPERLINK("https://business-monitor.ch/de/companies/1302583-sgg-gipser-und-fassadenisolation-gmbh?utm_source=oberaargau","PROFIL ANSEHEN")</f>
        <v>PROFIL ANSEHEN</v>
      </c>
    </row>
    <row r="4927" spans="1:12" x14ac:dyDescent="0.2">
      <c r="A4927" t="s">
        <v>14696</v>
      </c>
      <c r="B4927" t="s">
        <v>14697</v>
      </c>
      <c r="C4927" t="s">
        <v>1812</v>
      </c>
      <c r="E4927" t="s">
        <v>8007</v>
      </c>
      <c r="F4927">
        <v>3360</v>
      </c>
      <c r="G4927" t="s">
        <v>35</v>
      </c>
      <c r="H4927" t="s">
        <v>16</v>
      </c>
      <c r="I4927" t="s">
        <v>1350</v>
      </c>
      <c r="J4927" t="s">
        <v>1351</v>
      </c>
      <c r="K4927" t="s">
        <v>1809</v>
      </c>
      <c r="L4927" t="str">
        <f>HYPERLINK("https://business-monitor.ch/de/companies/1302830-pool-services-eichenberger?utm_source=oberaargau","PROFIL ANSEHEN")</f>
        <v>PROFIL ANSEHEN</v>
      </c>
    </row>
    <row r="4928" spans="1:12" x14ac:dyDescent="0.2">
      <c r="A4928" t="s">
        <v>10914</v>
      </c>
      <c r="B4928" t="s">
        <v>10915</v>
      </c>
      <c r="C4928" t="s">
        <v>202</v>
      </c>
      <c r="E4928" t="s">
        <v>12551</v>
      </c>
      <c r="F4928">
        <v>4704</v>
      </c>
      <c r="G4928" t="s">
        <v>221</v>
      </c>
      <c r="H4928" t="s">
        <v>16</v>
      </c>
      <c r="I4928" t="s">
        <v>2842</v>
      </c>
      <c r="J4928" t="s">
        <v>2843</v>
      </c>
      <c r="K4928" t="s">
        <v>1809</v>
      </c>
      <c r="L4928" t="str">
        <f>HYPERLINK("https://business-monitor.ch/de/companies/1101811-innovision-gmbh?utm_source=oberaargau","PROFIL ANSEHEN")</f>
        <v>PROFIL ANSEHEN</v>
      </c>
    </row>
    <row r="4929" spans="1:12" x14ac:dyDescent="0.2">
      <c r="A4929" t="s">
        <v>3935</v>
      </c>
      <c r="B4929" t="s">
        <v>3936</v>
      </c>
      <c r="C4929" t="s">
        <v>1827</v>
      </c>
      <c r="E4929" t="s">
        <v>1058</v>
      </c>
      <c r="F4929">
        <v>3360</v>
      </c>
      <c r="G4929" t="s">
        <v>35</v>
      </c>
      <c r="H4929" t="s">
        <v>16</v>
      </c>
      <c r="I4929" t="s">
        <v>157</v>
      </c>
      <c r="J4929" t="s">
        <v>158</v>
      </c>
      <c r="K4929" t="s">
        <v>1809</v>
      </c>
      <c r="L4929" t="str">
        <f>HYPERLINK("https://business-monitor.ch/de/companies/598487-marcel-und-roger-hofstetter-immobilien?utm_source=oberaargau","PROFIL ANSEHEN")</f>
        <v>PROFIL ANSEHEN</v>
      </c>
    </row>
    <row r="4930" spans="1:12" x14ac:dyDescent="0.2">
      <c r="A4930" t="s">
        <v>12660</v>
      </c>
      <c r="B4930" t="s">
        <v>12661</v>
      </c>
      <c r="C4930" t="s">
        <v>202</v>
      </c>
      <c r="E4930" t="s">
        <v>8084</v>
      </c>
      <c r="F4930">
        <v>4704</v>
      </c>
      <c r="G4930" t="s">
        <v>221</v>
      </c>
      <c r="H4930" t="s">
        <v>16</v>
      </c>
      <c r="I4930" t="s">
        <v>260</v>
      </c>
      <c r="J4930" t="s">
        <v>261</v>
      </c>
      <c r="K4930" t="s">
        <v>1809</v>
      </c>
      <c r="L4930" t="str">
        <f>HYPERLINK("https://business-monitor.ch/de/companies/1205113-cb-architekten-gmbh?utm_source=oberaargau","PROFIL ANSEHEN")</f>
        <v>PROFIL ANSEHEN</v>
      </c>
    </row>
    <row r="4931" spans="1:12" x14ac:dyDescent="0.2">
      <c r="A4931" t="s">
        <v>9523</v>
      </c>
      <c r="B4931" t="s">
        <v>9524</v>
      </c>
      <c r="C4931" t="s">
        <v>1812</v>
      </c>
      <c r="E4931" t="s">
        <v>9525</v>
      </c>
      <c r="F4931">
        <v>4900</v>
      </c>
      <c r="G4931" t="s">
        <v>41</v>
      </c>
      <c r="H4931" t="s">
        <v>16</v>
      </c>
      <c r="I4931" t="s">
        <v>5161</v>
      </c>
      <c r="J4931" t="s">
        <v>5162</v>
      </c>
      <c r="K4931" t="s">
        <v>1809</v>
      </c>
      <c r="L4931" t="str">
        <f>HYPERLINK("https://business-monitor.ch/de/companies/1035722-la-paz-coffee-inh-engel?utm_source=oberaargau","PROFIL ANSEHEN")</f>
        <v>PROFIL ANSEHEN</v>
      </c>
    </row>
    <row r="4932" spans="1:12" x14ac:dyDescent="0.2">
      <c r="A4932" t="s">
        <v>9052</v>
      </c>
      <c r="B4932" t="s">
        <v>9053</v>
      </c>
      <c r="C4932" t="s">
        <v>13</v>
      </c>
      <c r="E4932" t="s">
        <v>3263</v>
      </c>
      <c r="F4932">
        <v>3360</v>
      </c>
      <c r="G4932" t="s">
        <v>35</v>
      </c>
      <c r="H4932" t="s">
        <v>16</v>
      </c>
      <c r="I4932" t="s">
        <v>157</v>
      </c>
      <c r="J4932" t="s">
        <v>158</v>
      </c>
      <c r="K4932" t="s">
        <v>1809</v>
      </c>
      <c r="L4932" t="str">
        <f>HYPERLINK("https://business-monitor.ch/de/companies/199310-thaeler-immobilien-ag?utm_source=oberaargau","PROFIL ANSEHEN")</f>
        <v>PROFIL ANSEHEN</v>
      </c>
    </row>
    <row r="4933" spans="1:12" x14ac:dyDescent="0.2">
      <c r="A4933" t="s">
        <v>3089</v>
      </c>
      <c r="B4933" t="s">
        <v>3090</v>
      </c>
      <c r="C4933" t="s">
        <v>1812</v>
      </c>
      <c r="E4933" t="s">
        <v>3091</v>
      </c>
      <c r="F4933">
        <v>4917</v>
      </c>
      <c r="G4933" t="s">
        <v>376</v>
      </c>
      <c r="H4933" t="s">
        <v>16</v>
      </c>
      <c r="I4933" t="s">
        <v>134</v>
      </c>
      <c r="J4933" t="s">
        <v>135</v>
      </c>
      <c r="K4933" t="s">
        <v>1809</v>
      </c>
      <c r="L4933" t="str">
        <f>HYPERLINK("https://business-monitor.ch/de/companies/327893-elektro-schaerer?utm_source=oberaargau","PROFIL ANSEHEN")</f>
        <v>PROFIL ANSEHEN</v>
      </c>
    </row>
    <row r="4934" spans="1:12" x14ac:dyDescent="0.2">
      <c r="A4934" t="s">
        <v>6810</v>
      </c>
      <c r="B4934" t="s">
        <v>11885</v>
      </c>
      <c r="C4934" t="s">
        <v>13</v>
      </c>
      <c r="E4934" t="s">
        <v>11886</v>
      </c>
      <c r="F4934">
        <v>3376</v>
      </c>
      <c r="G4934" t="s">
        <v>6811</v>
      </c>
      <c r="H4934" t="s">
        <v>16</v>
      </c>
      <c r="I4934" t="s">
        <v>824</v>
      </c>
      <c r="J4934" t="s">
        <v>825</v>
      </c>
      <c r="K4934" t="s">
        <v>1809</v>
      </c>
      <c r="L4934" t="str">
        <f>HYPERLINK("https://business-monitor.ch/de/companies/78731-loewen-berken-ag?utm_source=oberaargau","PROFIL ANSEHEN")</f>
        <v>PROFIL ANSEHEN</v>
      </c>
    </row>
    <row r="4935" spans="1:12" x14ac:dyDescent="0.2">
      <c r="A4935" t="s">
        <v>7151</v>
      </c>
      <c r="B4935" t="s">
        <v>7152</v>
      </c>
      <c r="C4935" t="s">
        <v>202</v>
      </c>
      <c r="E4935" t="s">
        <v>7153</v>
      </c>
      <c r="F4935">
        <v>4923</v>
      </c>
      <c r="G4935" t="s">
        <v>732</v>
      </c>
      <c r="H4935" t="s">
        <v>16</v>
      </c>
      <c r="I4935" t="s">
        <v>7154</v>
      </c>
      <c r="J4935" t="s">
        <v>7155</v>
      </c>
      <c r="K4935" t="s">
        <v>1809</v>
      </c>
      <c r="L4935" t="str">
        <f>HYPERLINK("https://business-monitor.ch/de/companies/612129-haldi-bootbau-gmbh?utm_source=oberaargau","PROFIL ANSEHEN")</f>
        <v>PROFIL ANSEHEN</v>
      </c>
    </row>
    <row r="4936" spans="1:12" x14ac:dyDescent="0.2">
      <c r="A4936" t="s">
        <v>2256</v>
      </c>
      <c r="B4936" t="s">
        <v>2257</v>
      </c>
      <c r="C4936" t="s">
        <v>2258</v>
      </c>
      <c r="E4936" t="s">
        <v>2259</v>
      </c>
      <c r="F4936">
        <v>4900</v>
      </c>
      <c r="G4936" t="s">
        <v>41</v>
      </c>
      <c r="H4936" t="s">
        <v>16</v>
      </c>
      <c r="I4936" t="s">
        <v>344</v>
      </c>
      <c r="J4936" t="s">
        <v>345</v>
      </c>
      <c r="K4936" t="s">
        <v>1809</v>
      </c>
      <c r="L4936" t="str">
        <f>HYPERLINK("https://business-monitor.ch/de/companies/397515-verband-der-grobeisenhaendler-des-kantons-bern?utm_source=oberaargau","PROFIL ANSEHEN")</f>
        <v>PROFIL ANSEHEN</v>
      </c>
    </row>
    <row r="4937" spans="1:12" x14ac:dyDescent="0.2">
      <c r="A4937" t="s">
        <v>8085</v>
      </c>
      <c r="B4937" t="s">
        <v>8086</v>
      </c>
      <c r="C4937" t="s">
        <v>1812</v>
      </c>
      <c r="E4937" t="s">
        <v>1851</v>
      </c>
      <c r="F4937">
        <v>4955</v>
      </c>
      <c r="G4937" t="s">
        <v>684</v>
      </c>
      <c r="H4937" t="s">
        <v>16</v>
      </c>
      <c r="I4937" t="s">
        <v>1852</v>
      </c>
      <c r="J4937" t="s">
        <v>1853</v>
      </c>
      <c r="K4937" t="s">
        <v>1809</v>
      </c>
      <c r="L4937" t="str">
        <f>HYPERLINK("https://business-monitor.ch/de/companies/1072063-tke-renovation-taicon?utm_source=oberaargau","PROFIL ANSEHEN")</f>
        <v>PROFIL ANSEHEN</v>
      </c>
    </row>
    <row r="4938" spans="1:12" x14ac:dyDescent="0.2">
      <c r="A4938" t="s">
        <v>5837</v>
      </c>
      <c r="B4938" t="s">
        <v>5838</v>
      </c>
      <c r="C4938" t="s">
        <v>1922</v>
      </c>
      <c r="D4938" t="s">
        <v>5839</v>
      </c>
      <c r="E4938" t="s">
        <v>4471</v>
      </c>
      <c r="F4938">
        <v>4900</v>
      </c>
      <c r="G4938" t="s">
        <v>41</v>
      </c>
      <c r="H4938" t="s">
        <v>16</v>
      </c>
      <c r="I4938" t="s">
        <v>1924</v>
      </c>
      <c r="J4938" t="s">
        <v>1925</v>
      </c>
      <c r="K4938" t="s">
        <v>1809</v>
      </c>
      <c r="L4938" t="str">
        <f>HYPERLINK("https://business-monitor.ch/de/companies/52723-stiftung-zur-foerderung-wissenschaftlich-heimatkundlicher-forschung-ueber-dorf-und-gemeinde-langenthal?utm_source=oberaargau","PROFIL ANSEHEN")</f>
        <v>PROFIL ANSEHEN</v>
      </c>
    </row>
    <row r="4939" spans="1:12" x14ac:dyDescent="0.2">
      <c r="A4939" t="s">
        <v>6107</v>
      </c>
      <c r="B4939" t="s">
        <v>6108</v>
      </c>
      <c r="C4939" t="s">
        <v>202</v>
      </c>
      <c r="E4939" t="s">
        <v>6109</v>
      </c>
      <c r="F4939">
        <v>4537</v>
      </c>
      <c r="G4939" t="s">
        <v>113</v>
      </c>
      <c r="H4939" t="s">
        <v>16</v>
      </c>
      <c r="I4939" t="s">
        <v>603</v>
      </c>
      <c r="J4939" t="s">
        <v>604</v>
      </c>
      <c r="K4939" t="s">
        <v>1809</v>
      </c>
      <c r="L4939" t="str">
        <f>HYPERLINK("https://business-monitor.ch/de/companies/400324-reit-und-fahrsport-pegasus-gmbh?utm_source=oberaargau","PROFIL ANSEHEN")</f>
        <v>PROFIL ANSEHEN</v>
      </c>
    </row>
    <row r="4940" spans="1:12" x14ac:dyDescent="0.2">
      <c r="A4940" t="s">
        <v>10221</v>
      </c>
      <c r="B4940" t="s">
        <v>10222</v>
      </c>
      <c r="C4940" t="s">
        <v>1812</v>
      </c>
      <c r="E4940" t="s">
        <v>2179</v>
      </c>
      <c r="F4940">
        <v>4934</v>
      </c>
      <c r="G4940" t="s">
        <v>670</v>
      </c>
      <c r="H4940" t="s">
        <v>16</v>
      </c>
      <c r="I4940" t="s">
        <v>2045</v>
      </c>
      <c r="J4940" t="s">
        <v>2046</v>
      </c>
      <c r="K4940" t="s">
        <v>1809</v>
      </c>
      <c r="L4940" t="str">
        <f>HYPERLINK("https://business-monitor.ch/de/companies/608071-elements4art-maja-zbinden?utm_source=oberaargau","PROFIL ANSEHEN")</f>
        <v>PROFIL ANSEHEN</v>
      </c>
    </row>
    <row r="4941" spans="1:12" x14ac:dyDescent="0.2">
      <c r="A4941" t="s">
        <v>7699</v>
      </c>
      <c r="B4941" t="s">
        <v>7700</v>
      </c>
      <c r="C4941" t="s">
        <v>202</v>
      </c>
      <c r="E4941" t="s">
        <v>7701</v>
      </c>
      <c r="F4941">
        <v>3360</v>
      </c>
      <c r="G4941" t="s">
        <v>35</v>
      </c>
      <c r="H4941" t="s">
        <v>16</v>
      </c>
      <c r="I4941" t="s">
        <v>824</v>
      </c>
      <c r="J4941" t="s">
        <v>825</v>
      </c>
      <c r="K4941" t="s">
        <v>1809</v>
      </c>
      <c r="L4941" t="str">
        <f>HYPERLINK("https://business-monitor.ch/de/companies/613676-wandee-markus-graber-gmbh?utm_source=oberaargau","PROFIL ANSEHEN")</f>
        <v>PROFIL ANSEHEN</v>
      </c>
    </row>
    <row r="4942" spans="1:12" x14ac:dyDescent="0.2">
      <c r="A4942" t="s">
        <v>2493</v>
      </c>
      <c r="B4942" t="s">
        <v>2494</v>
      </c>
      <c r="C4942" t="s">
        <v>13</v>
      </c>
      <c r="E4942" t="s">
        <v>2495</v>
      </c>
      <c r="F4942">
        <v>3360</v>
      </c>
      <c r="G4942" t="s">
        <v>35</v>
      </c>
      <c r="H4942" t="s">
        <v>16</v>
      </c>
      <c r="I4942" t="s">
        <v>2496</v>
      </c>
      <c r="J4942" t="s">
        <v>2497</v>
      </c>
      <c r="K4942" t="s">
        <v>1809</v>
      </c>
      <c r="L4942" t="str">
        <f>HYPERLINK("https://business-monitor.ch/de/companies/97197-urben-ag?utm_source=oberaargau","PROFIL ANSEHEN")</f>
        <v>PROFIL ANSEHEN</v>
      </c>
    </row>
    <row r="4943" spans="1:12" x14ac:dyDescent="0.2">
      <c r="A4943" t="s">
        <v>9209</v>
      </c>
      <c r="B4943" t="s">
        <v>9210</v>
      </c>
      <c r="C4943" t="s">
        <v>13</v>
      </c>
      <c r="E4943" t="s">
        <v>13515</v>
      </c>
      <c r="F4943">
        <v>4900</v>
      </c>
      <c r="G4943" t="s">
        <v>41</v>
      </c>
      <c r="H4943" t="s">
        <v>16</v>
      </c>
      <c r="I4943" t="s">
        <v>153</v>
      </c>
      <c r="J4943" t="s">
        <v>154</v>
      </c>
      <c r="K4943" t="s">
        <v>1809</v>
      </c>
      <c r="L4943" t="str">
        <f>HYPERLINK("https://business-monitor.ch/de/companies/141981-zeller-automatik-ag?utm_source=oberaargau","PROFIL ANSEHEN")</f>
        <v>PROFIL ANSEHEN</v>
      </c>
    </row>
    <row r="4944" spans="1:12" x14ac:dyDescent="0.2">
      <c r="A4944" t="s">
        <v>2868</v>
      </c>
      <c r="B4944" t="s">
        <v>2869</v>
      </c>
      <c r="C4944" t="s">
        <v>202</v>
      </c>
      <c r="D4944" t="s">
        <v>2870</v>
      </c>
      <c r="E4944" t="s">
        <v>14698</v>
      </c>
      <c r="F4944">
        <v>4922</v>
      </c>
      <c r="G4944" t="s">
        <v>1318</v>
      </c>
      <c r="H4944" t="s">
        <v>16</v>
      </c>
      <c r="I4944" t="s">
        <v>2748</v>
      </c>
      <c r="J4944" t="s">
        <v>2749</v>
      </c>
      <c r="K4944" t="s">
        <v>1809</v>
      </c>
      <c r="L4944" t="str">
        <f>HYPERLINK("https://business-monitor.ch/de/companies/416709-creahorse-gmbh?utm_source=oberaargau","PROFIL ANSEHEN")</f>
        <v>PROFIL ANSEHEN</v>
      </c>
    </row>
    <row r="4945" spans="1:12" x14ac:dyDescent="0.2">
      <c r="A4945" t="s">
        <v>7410</v>
      </c>
      <c r="B4945" t="s">
        <v>7411</v>
      </c>
      <c r="C4945" t="s">
        <v>202</v>
      </c>
      <c r="E4945" t="s">
        <v>7412</v>
      </c>
      <c r="F4945">
        <v>3363</v>
      </c>
      <c r="G4945" t="s">
        <v>1367</v>
      </c>
      <c r="H4945" t="s">
        <v>16</v>
      </c>
      <c r="I4945" t="s">
        <v>2505</v>
      </c>
      <c r="J4945" t="s">
        <v>2506</v>
      </c>
      <c r="K4945" t="s">
        <v>1809</v>
      </c>
      <c r="L4945" t="str">
        <f>HYPERLINK("https://business-monitor.ch/de/companies/959265-mofc-gmbh?utm_source=oberaargau","PROFIL ANSEHEN")</f>
        <v>PROFIL ANSEHEN</v>
      </c>
    </row>
    <row r="4946" spans="1:12" x14ac:dyDescent="0.2">
      <c r="A4946" t="s">
        <v>3840</v>
      </c>
      <c r="B4946" t="s">
        <v>1538</v>
      </c>
      <c r="C4946" t="s">
        <v>2178</v>
      </c>
      <c r="E4946" t="s">
        <v>3841</v>
      </c>
      <c r="F4946">
        <v>4912</v>
      </c>
      <c r="G4946" t="s">
        <v>64</v>
      </c>
      <c r="H4946" t="s">
        <v>16</v>
      </c>
      <c r="I4946" t="s">
        <v>642</v>
      </c>
      <c r="J4946" t="s">
        <v>643</v>
      </c>
      <c r="K4946" t="s">
        <v>1809</v>
      </c>
      <c r="L4946" t="str">
        <f>HYPERLINK("https://business-monitor.ch/de/companies/1011074-garage-kueffer-ag?utm_source=oberaargau","PROFIL ANSEHEN")</f>
        <v>PROFIL ANSEHEN</v>
      </c>
    </row>
    <row r="4947" spans="1:12" x14ac:dyDescent="0.2">
      <c r="A4947" t="s">
        <v>13123</v>
      </c>
      <c r="B4947" t="s">
        <v>13124</v>
      </c>
      <c r="C4947" t="s">
        <v>202</v>
      </c>
      <c r="E4947" t="s">
        <v>13125</v>
      </c>
      <c r="F4947">
        <v>4933</v>
      </c>
      <c r="G4947" t="s">
        <v>3812</v>
      </c>
      <c r="H4947" t="s">
        <v>16</v>
      </c>
      <c r="I4947" t="s">
        <v>1952</v>
      </c>
      <c r="J4947" t="s">
        <v>1953</v>
      </c>
      <c r="K4947" t="s">
        <v>1809</v>
      </c>
      <c r="L4947" t="str">
        <f>HYPERLINK("https://business-monitor.ch/de/companies/1241592-bienen-haus-kohler-gmbh?utm_source=oberaargau","PROFIL ANSEHEN")</f>
        <v>PROFIL ANSEHEN</v>
      </c>
    </row>
    <row r="4948" spans="1:12" x14ac:dyDescent="0.2">
      <c r="A4948" t="s">
        <v>8806</v>
      </c>
      <c r="B4948" t="s">
        <v>8807</v>
      </c>
      <c r="C4948" t="s">
        <v>13</v>
      </c>
      <c r="D4948" t="s">
        <v>2583</v>
      </c>
      <c r="E4948" t="s">
        <v>1084</v>
      </c>
      <c r="F4948">
        <v>4900</v>
      </c>
      <c r="G4948" t="s">
        <v>41</v>
      </c>
      <c r="H4948" t="s">
        <v>16</v>
      </c>
      <c r="I4948" t="s">
        <v>906</v>
      </c>
      <c r="J4948" t="s">
        <v>907</v>
      </c>
      <c r="K4948" t="s">
        <v>1809</v>
      </c>
      <c r="L4948" t="str">
        <f>HYPERLINK("https://business-monitor.ch/de/companies/418796-rimmobie-ag?utm_source=oberaargau","PROFIL ANSEHEN")</f>
        <v>PROFIL ANSEHEN</v>
      </c>
    </row>
    <row r="4949" spans="1:12" x14ac:dyDescent="0.2">
      <c r="A4949" t="s">
        <v>11052</v>
      </c>
      <c r="B4949" t="s">
        <v>11053</v>
      </c>
      <c r="C4949" t="s">
        <v>1812</v>
      </c>
      <c r="E4949" t="s">
        <v>11054</v>
      </c>
      <c r="F4949">
        <v>4704</v>
      </c>
      <c r="G4949" t="s">
        <v>221</v>
      </c>
      <c r="H4949" t="s">
        <v>16</v>
      </c>
      <c r="I4949" t="s">
        <v>9506</v>
      </c>
      <c r="J4949" t="s">
        <v>9507</v>
      </c>
      <c r="K4949" t="s">
        <v>1809</v>
      </c>
      <c r="L4949" t="str">
        <f>HYPERLINK("https://business-monitor.ch/de/companies/1116111-werkstatt-und-lohnarbeiten-reber?utm_source=oberaargau","PROFIL ANSEHEN")</f>
        <v>PROFIL ANSEHEN</v>
      </c>
    </row>
    <row r="4950" spans="1:12" x14ac:dyDescent="0.2">
      <c r="A4950" t="s">
        <v>4340</v>
      </c>
      <c r="B4950" t="s">
        <v>4341</v>
      </c>
      <c r="C4950" t="s">
        <v>202</v>
      </c>
      <c r="E4950" t="s">
        <v>4342</v>
      </c>
      <c r="F4950">
        <v>4704</v>
      </c>
      <c r="G4950" t="s">
        <v>221</v>
      </c>
      <c r="H4950" t="s">
        <v>16</v>
      </c>
      <c r="I4950" t="s">
        <v>4343</v>
      </c>
      <c r="J4950" t="s">
        <v>4344</v>
      </c>
      <c r="K4950" t="s">
        <v>1809</v>
      </c>
      <c r="L4950" t="str">
        <f>HYPERLINK("https://business-monitor.ch/de/companies/963348-proper-job-translations-gmbh?utm_source=oberaargau","PROFIL ANSEHEN")</f>
        <v>PROFIL ANSEHEN</v>
      </c>
    </row>
    <row r="4951" spans="1:12" x14ac:dyDescent="0.2">
      <c r="A4951" t="s">
        <v>11040</v>
      </c>
      <c r="B4951" t="s">
        <v>11041</v>
      </c>
      <c r="C4951" t="s">
        <v>1812</v>
      </c>
      <c r="E4951" t="s">
        <v>11042</v>
      </c>
      <c r="F4951">
        <v>4950</v>
      </c>
      <c r="G4951" t="s">
        <v>15</v>
      </c>
      <c r="H4951" t="s">
        <v>16</v>
      </c>
      <c r="I4951" t="s">
        <v>8345</v>
      </c>
      <c r="J4951" t="s">
        <v>8346</v>
      </c>
      <c r="K4951" t="s">
        <v>1809</v>
      </c>
      <c r="L4951" t="str">
        <f>HYPERLINK("https://business-monitor.ch/de/companies/1119395-maiz-latino-inh-sanchez-dias?utm_source=oberaargau","PROFIL ANSEHEN")</f>
        <v>PROFIL ANSEHEN</v>
      </c>
    </row>
    <row r="4952" spans="1:12" x14ac:dyDescent="0.2">
      <c r="A4952" t="s">
        <v>5925</v>
      </c>
      <c r="B4952" t="s">
        <v>5926</v>
      </c>
      <c r="C4952" t="s">
        <v>202</v>
      </c>
      <c r="E4952" t="s">
        <v>11486</v>
      </c>
      <c r="F4952">
        <v>3376</v>
      </c>
      <c r="G4952" t="s">
        <v>6811</v>
      </c>
      <c r="H4952" t="s">
        <v>16</v>
      </c>
      <c r="I4952" t="s">
        <v>781</v>
      </c>
      <c r="J4952" t="s">
        <v>782</v>
      </c>
      <c r="K4952" t="s">
        <v>1809</v>
      </c>
      <c r="L4952" t="str">
        <f>HYPERLINK("https://business-monitor.ch/de/companies/483470-graenicher-dienstleistungs-gmbh?utm_source=oberaargau","PROFIL ANSEHEN")</f>
        <v>PROFIL ANSEHEN</v>
      </c>
    </row>
    <row r="4953" spans="1:12" x14ac:dyDescent="0.2">
      <c r="A4953" t="s">
        <v>13343</v>
      </c>
      <c r="B4953" t="s">
        <v>13344</v>
      </c>
      <c r="C4953" t="s">
        <v>13</v>
      </c>
      <c r="E4953" t="s">
        <v>1824</v>
      </c>
      <c r="F4953">
        <v>4704</v>
      </c>
      <c r="G4953" t="s">
        <v>221</v>
      </c>
      <c r="H4953" t="s">
        <v>16</v>
      </c>
      <c r="I4953" t="s">
        <v>733</v>
      </c>
      <c r="J4953" t="s">
        <v>734</v>
      </c>
      <c r="K4953" t="s">
        <v>1809</v>
      </c>
      <c r="L4953" t="str">
        <f>HYPERLINK("https://business-monitor.ch/de/companies/1122482-acn-rotzetter-ag?utm_source=oberaargau","PROFIL ANSEHEN")</f>
        <v>PROFIL ANSEHEN</v>
      </c>
    </row>
    <row r="4954" spans="1:12" x14ac:dyDescent="0.2">
      <c r="A4954" t="s">
        <v>4626</v>
      </c>
      <c r="B4954" t="s">
        <v>4627</v>
      </c>
      <c r="C4954" t="s">
        <v>1812</v>
      </c>
      <c r="E4954" t="s">
        <v>3891</v>
      </c>
      <c r="F4954">
        <v>4913</v>
      </c>
      <c r="G4954" t="s">
        <v>207</v>
      </c>
      <c r="H4954" t="s">
        <v>16</v>
      </c>
      <c r="I4954" t="s">
        <v>2414</v>
      </c>
      <c r="J4954" t="s">
        <v>2415</v>
      </c>
      <c r="K4954" t="s">
        <v>1809</v>
      </c>
      <c r="L4954" t="str">
        <f>HYPERLINK("https://business-monitor.ch/de/companies/632474-star-bollywood-chouhan?utm_source=oberaargau","PROFIL ANSEHEN")</f>
        <v>PROFIL ANSEHEN</v>
      </c>
    </row>
    <row r="4955" spans="1:12" x14ac:dyDescent="0.2">
      <c r="A4955" t="s">
        <v>5347</v>
      </c>
      <c r="B4955" t="s">
        <v>5348</v>
      </c>
      <c r="C4955" t="s">
        <v>13</v>
      </c>
      <c r="E4955" t="s">
        <v>2274</v>
      </c>
      <c r="F4955">
        <v>4536</v>
      </c>
      <c r="G4955" t="s">
        <v>1395</v>
      </c>
      <c r="H4955" t="s">
        <v>16</v>
      </c>
      <c r="I4955" t="s">
        <v>935</v>
      </c>
      <c r="J4955" t="s">
        <v>936</v>
      </c>
      <c r="K4955" t="s">
        <v>1809</v>
      </c>
      <c r="L4955" t="str">
        <f>HYPERLINK("https://business-monitor.ch/de/companies/272744-attilum-immobilien-ag?utm_source=oberaargau","PROFIL ANSEHEN")</f>
        <v>PROFIL ANSEHEN</v>
      </c>
    </row>
    <row r="4956" spans="1:12" x14ac:dyDescent="0.2">
      <c r="A4956" t="s">
        <v>8802</v>
      </c>
      <c r="B4956" t="s">
        <v>8803</v>
      </c>
      <c r="C4956" t="s">
        <v>13</v>
      </c>
      <c r="E4956" t="s">
        <v>3712</v>
      </c>
      <c r="F4956">
        <v>4900</v>
      </c>
      <c r="G4956" t="s">
        <v>41</v>
      </c>
      <c r="H4956" t="s">
        <v>16</v>
      </c>
      <c r="I4956" t="s">
        <v>1993</v>
      </c>
      <c r="J4956" t="s">
        <v>1994</v>
      </c>
      <c r="K4956" t="s">
        <v>1809</v>
      </c>
      <c r="L4956" t="str">
        <f>HYPERLINK("https://business-monitor.ch/de/companies/438157-carola-immobilien-ag?utm_source=oberaargau","PROFIL ANSEHEN")</f>
        <v>PROFIL ANSEHEN</v>
      </c>
    </row>
    <row r="4957" spans="1:12" x14ac:dyDescent="0.2">
      <c r="A4957" t="s">
        <v>11240</v>
      </c>
      <c r="B4957" t="s">
        <v>11241</v>
      </c>
      <c r="C4957" t="s">
        <v>202</v>
      </c>
      <c r="D4957" t="s">
        <v>11242</v>
      </c>
      <c r="E4957" t="s">
        <v>11243</v>
      </c>
      <c r="F4957">
        <v>4934</v>
      </c>
      <c r="G4957" t="s">
        <v>670</v>
      </c>
      <c r="H4957" t="s">
        <v>16</v>
      </c>
      <c r="I4957" t="s">
        <v>781</v>
      </c>
      <c r="J4957" t="s">
        <v>782</v>
      </c>
      <c r="K4957" t="s">
        <v>1809</v>
      </c>
      <c r="L4957" t="str">
        <f>HYPERLINK("https://business-monitor.ch/de/companies/1124669-sn-agrar-mechanik-gmbh?utm_source=oberaargau","PROFIL ANSEHEN")</f>
        <v>PROFIL ANSEHEN</v>
      </c>
    </row>
    <row r="4958" spans="1:12" x14ac:dyDescent="0.2">
      <c r="A4958" t="s">
        <v>10232</v>
      </c>
      <c r="B4958" t="s">
        <v>10233</v>
      </c>
      <c r="C4958" t="s">
        <v>13</v>
      </c>
      <c r="D4958" t="s">
        <v>10234</v>
      </c>
      <c r="E4958" t="s">
        <v>390</v>
      </c>
      <c r="F4958">
        <v>4537</v>
      </c>
      <c r="G4958" t="s">
        <v>113</v>
      </c>
      <c r="H4958" t="s">
        <v>16</v>
      </c>
      <c r="I4958" t="s">
        <v>182</v>
      </c>
      <c r="J4958" t="s">
        <v>183</v>
      </c>
      <c r="K4958" t="s">
        <v>1809</v>
      </c>
      <c r="L4958" t="str">
        <f>HYPERLINK("https://business-monitor.ch/de/companies/603757-nub-holding-ag?utm_source=oberaargau","PROFIL ANSEHEN")</f>
        <v>PROFIL ANSEHEN</v>
      </c>
    </row>
    <row r="4959" spans="1:12" x14ac:dyDescent="0.2">
      <c r="A4959" t="s">
        <v>11344</v>
      </c>
      <c r="B4959" t="s">
        <v>11345</v>
      </c>
      <c r="C4959" t="s">
        <v>13</v>
      </c>
      <c r="E4959" t="s">
        <v>2890</v>
      </c>
      <c r="F4959">
        <v>4950</v>
      </c>
      <c r="G4959" t="s">
        <v>15</v>
      </c>
      <c r="H4959" t="s">
        <v>16</v>
      </c>
      <c r="I4959" t="s">
        <v>935</v>
      </c>
      <c r="J4959" t="s">
        <v>936</v>
      </c>
      <c r="K4959" t="s">
        <v>1809</v>
      </c>
      <c r="L4959" t="str">
        <f>HYPERLINK("https://business-monitor.ch/de/companies/1127724-kaylife-immos-ag?utm_source=oberaargau","PROFIL ANSEHEN")</f>
        <v>PROFIL ANSEHEN</v>
      </c>
    </row>
    <row r="4960" spans="1:12" x14ac:dyDescent="0.2">
      <c r="A4960" t="s">
        <v>2295</v>
      </c>
      <c r="B4960" t="s">
        <v>2296</v>
      </c>
      <c r="C4960" t="s">
        <v>1812</v>
      </c>
      <c r="E4960" t="s">
        <v>2297</v>
      </c>
      <c r="F4960">
        <v>4537</v>
      </c>
      <c r="G4960" t="s">
        <v>113</v>
      </c>
      <c r="H4960" t="s">
        <v>16</v>
      </c>
      <c r="I4960" t="s">
        <v>642</v>
      </c>
      <c r="J4960" t="s">
        <v>643</v>
      </c>
      <c r="K4960" t="s">
        <v>1809</v>
      </c>
      <c r="L4960" t="str">
        <f>HYPERLINK("https://business-monitor.ch/de/companies/262691-garage-bogdanovic?utm_source=oberaargau","PROFIL ANSEHEN")</f>
        <v>PROFIL ANSEHEN</v>
      </c>
    </row>
    <row r="4961" spans="1:12" x14ac:dyDescent="0.2">
      <c r="A4961" t="s">
        <v>3481</v>
      </c>
      <c r="B4961" t="s">
        <v>3482</v>
      </c>
      <c r="C4961" t="s">
        <v>13</v>
      </c>
      <c r="E4961" t="s">
        <v>10950</v>
      </c>
      <c r="F4961">
        <v>4912</v>
      </c>
      <c r="G4961" t="s">
        <v>64</v>
      </c>
      <c r="H4961" t="s">
        <v>16</v>
      </c>
      <c r="I4961" t="s">
        <v>2293</v>
      </c>
      <c r="J4961" t="s">
        <v>2294</v>
      </c>
      <c r="K4961" t="s">
        <v>1809</v>
      </c>
      <c r="L4961" t="str">
        <f>HYPERLINK("https://business-monitor.ch/de/companies/170861-andreas-hofmann-ag?utm_source=oberaargau","PROFIL ANSEHEN")</f>
        <v>PROFIL ANSEHEN</v>
      </c>
    </row>
    <row r="4962" spans="1:12" x14ac:dyDescent="0.2">
      <c r="A4962" t="s">
        <v>2645</v>
      </c>
      <c r="B4962" t="s">
        <v>2646</v>
      </c>
      <c r="C4962" t="s">
        <v>13</v>
      </c>
      <c r="E4962" t="s">
        <v>2026</v>
      </c>
      <c r="F4962">
        <v>4900</v>
      </c>
      <c r="G4962" t="s">
        <v>41</v>
      </c>
      <c r="H4962" t="s">
        <v>16</v>
      </c>
      <c r="I4962" t="s">
        <v>2647</v>
      </c>
      <c r="J4962" t="s">
        <v>2648</v>
      </c>
      <c r="K4962" t="s">
        <v>1809</v>
      </c>
      <c r="L4962" t="str">
        <f>HYPERLINK("https://business-monitor.ch/de/companies/489169-frilo-ag?utm_source=oberaargau","PROFIL ANSEHEN")</f>
        <v>PROFIL ANSEHEN</v>
      </c>
    </row>
    <row r="4963" spans="1:12" x14ac:dyDescent="0.2">
      <c r="A4963" t="s">
        <v>12110</v>
      </c>
      <c r="B4963" t="s">
        <v>12111</v>
      </c>
      <c r="C4963" t="s">
        <v>202</v>
      </c>
      <c r="E4963" t="s">
        <v>12112</v>
      </c>
      <c r="F4963">
        <v>4914</v>
      </c>
      <c r="G4963" t="s">
        <v>105</v>
      </c>
      <c r="H4963" t="s">
        <v>16</v>
      </c>
      <c r="I4963" t="s">
        <v>2849</v>
      </c>
      <c r="J4963" t="s">
        <v>2850</v>
      </c>
      <c r="K4963" t="s">
        <v>1809</v>
      </c>
      <c r="L4963" t="str">
        <f>HYPERLINK("https://business-monitor.ch/de/companies/441157-gemeinschaft-riedbad-gmbh?utm_source=oberaargau","PROFIL ANSEHEN")</f>
        <v>PROFIL ANSEHEN</v>
      </c>
    </row>
    <row r="4964" spans="1:12" x14ac:dyDescent="0.2">
      <c r="A4964" t="s">
        <v>6229</v>
      </c>
      <c r="B4964" t="s">
        <v>6230</v>
      </c>
      <c r="C4964" t="s">
        <v>202</v>
      </c>
      <c r="D4964" t="s">
        <v>6231</v>
      </c>
      <c r="E4964" t="s">
        <v>6232</v>
      </c>
      <c r="F4964">
        <v>4704</v>
      </c>
      <c r="G4964" t="s">
        <v>221</v>
      </c>
      <c r="H4964" t="s">
        <v>16</v>
      </c>
      <c r="I4964" t="s">
        <v>1361</v>
      </c>
      <c r="J4964" t="s">
        <v>1362</v>
      </c>
      <c r="K4964" t="s">
        <v>1809</v>
      </c>
      <c r="L4964" t="str">
        <f>HYPERLINK("https://business-monitor.ch/de/companies/360293-rw-mega-budget-markt-gmbh?utm_source=oberaargau","PROFIL ANSEHEN")</f>
        <v>PROFIL ANSEHEN</v>
      </c>
    </row>
    <row r="4965" spans="1:12" x14ac:dyDescent="0.2">
      <c r="A4965" t="s">
        <v>2783</v>
      </c>
      <c r="B4965" t="s">
        <v>2784</v>
      </c>
      <c r="C4965" t="s">
        <v>13</v>
      </c>
      <c r="D4965" t="s">
        <v>2785</v>
      </c>
      <c r="E4965" t="s">
        <v>2786</v>
      </c>
      <c r="F4965">
        <v>3380</v>
      </c>
      <c r="G4965" t="s">
        <v>29</v>
      </c>
      <c r="H4965" t="s">
        <v>16</v>
      </c>
      <c r="I4965" t="s">
        <v>906</v>
      </c>
      <c r="J4965" t="s">
        <v>907</v>
      </c>
      <c r="K4965" t="s">
        <v>1809</v>
      </c>
      <c r="L4965" t="str">
        <f>HYPERLINK("https://business-monitor.ch/de/companies/440771-campargo-ag?utm_source=oberaargau","PROFIL ANSEHEN")</f>
        <v>PROFIL ANSEHEN</v>
      </c>
    </row>
    <row r="4966" spans="1:12" x14ac:dyDescent="0.2">
      <c r="A4966" t="s">
        <v>10633</v>
      </c>
      <c r="B4966" t="s">
        <v>10634</v>
      </c>
      <c r="C4966" t="s">
        <v>202</v>
      </c>
      <c r="E4966" t="s">
        <v>11902</v>
      </c>
      <c r="F4966">
        <v>3360</v>
      </c>
      <c r="G4966" t="s">
        <v>35</v>
      </c>
      <c r="H4966" t="s">
        <v>16</v>
      </c>
      <c r="I4966" t="s">
        <v>144</v>
      </c>
      <c r="J4966" t="s">
        <v>145</v>
      </c>
      <c r="K4966" t="s">
        <v>1809</v>
      </c>
      <c r="L4966" t="str">
        <f>HYPERLINK("https://business-monitor.ch/de/companies/267629-m-stauffer-gmbh?utm_source=oberaargau","PROFIL ANSEHEN")</f>
        <v>PROFIL ANSEHEN</v>
      </c>
    </row>
    <row r="4967" spans="1:12" x14ac:dyDescent="0.2">
      <c r="A4967" t="s">
        <v>8777</v>
      </c>
      <c r="B4967" t="s">
        <v>8778</v>
      </c>
      <c r="C4967" t="s">
        <v>1922</v>
      </c>
      <c r="D4967" t="s">
        <v>8779</v>
      </c>
      <c r="E4967" t="s">
        <v>2764</v>
      </c>
      <c r="F4967">
        <v>4923</v>
      </c>
      <c r="G4967" t="s">
        <v>732</v>
      </c>
      <c r="H4967" t="s">
        <v>16</v>
      </c>
      <c r="I4967" t="s">
        <v>640</v>
      </c>
      <c r="J4967" t="s">
        <v>641</v>
      </c>
      <c r="K4967" t="s">
        <v>1809</v>
      </c>
      <c r="L4967" t="str">
        <f>HYPERLINK("https://business-monitor.ch/de/companies/361161-xellent-stiftung?utm_source=oberaargau","PROFIL ANSEHEN")</f>
        <v>PROFIL ANSEHEN</v>
      </c>
    </row>
    <row r="4968" spans="1:12" x14ac:dyDescent="0.2">
      <c r="A4968" t="s">
        <v>2774</v>
      </c>
      <c r="B4968" t="s">
        <v>2775</v>
      </c>
      <c r="C4968" t="s">
        <v>1812</v>
      </c>
      <c r="E4968" t="s">
        <v>2776</v>
      </c>
      <c r="F4968">
        <v>4704</v>
      </c>
      <c r="G4968" t="s">
        <v>221</v>
      </c>
      <c r="H4968" t="s">
        <v>16</v>
      </c>
      <c r="I4968" t="s">
        <v>551</v>
      </c>
      <c r="J4968" t="s">
        <v>552</v>
      </c>
      <c r="K4968" t="s">
        <v>1809</v>
      </c>
      <c r="L4968" t="str">
        <f>HYPERLINK("https://business-monitor.ch/de/companies/443816-md-global-consulting-tamara-d-amico?utm_source=oberaargau","PROFIL ANSEHEN")</f>
        <v>PROFIL ANSEHEN</v>
      </c>
    </row>
    <row r="4969" spans="1:12" x14ac:dyDescent="0.2">
      <c r="A4969" t="s">
        <v>11942</v>
      </c>
      <c r="B4969" t="s">
        <v>11943</v>
      </c>
      <c r="C4969" t="s">
        <v>202</v>
      </c>
      <c r="E4969" t="s">
        <v>11944</v>
      </c>
      <c r="F4969">
        <v>4900</v>
      </c>
      <c r="G4969" t="s">
        <v>41</v>
      </c>
      <c r="H4969" t="s">
        <v>16</v>
      </c>
      <c r="I4969" t="s">
        <v>260</v>
      </c>
      <c r="J4969" t="s">
        <v>261</v>
      </c>
      <c r="K4969" t="s">
        <v>1809</v>
      </c>
      <c r="L4969" t="str">
        <f>HYPERLINK("https://business-monitor.ch/de/companies/1174857-heiniger-planung-baumanagement-gmbh?utm_source=oberaargau","PROFIL ANSEHEN")</f>
        <v>PROFIL ANSEHEN</v>
      </c>
    </row>
    <row r="4970" spans="1:12" x14ac:dyDescent="0.2">
      <c r="A4970" t="s">
        <v>11815</v>
      </c>
      <c r="B4970" t="s">
        <v>11816</v>
      </c>
      <c r="C4970" t="s">
        <v>202</v>
      </c>
      <c r="E4970" t="s">
        <v>11817</v>
      </c>
      <c r="F4970">
        <v>4954</v>
      </c>
      <c r="G4970" t="s">
        <v>359</v>
      </c>
      <c r="H4970" t="s">
        <v>16</v>
      </c>
      <c r="I4970" t="s">
        <v>222</v>
      </c>
      <c r="J4970" t="s">
        <v>223</v>
      </c>
      <c r="K4970" t="s">
        <v>1809</v>
      </c>
      <c r="L4970" t="str">
        <f>HYPERLINK("https://business-monitor.ch/de/companies/709035-treenity-gmbh?utm_source=oberaargau","PROFIL ANSEHEN")</f>
        <v>PROFIL ANSEHEN</v>
      </c>
    </row>
    <row r="4971" spans="1:12" x14ac:dyDescent="0.2">
      <c r="A4971" t="s">
        <v>11701</v>
      </c>
      <c r="B4971" t="s">
        <v>12882</v>
      </c>
      <c r="C4971" t="s">
        <v>1812</v>
      </c>
      <c r="E4971" t="s">
        <v>11616</v>
      </c>
      <c r="F4971">
        <v>3360</v>
      </c>
      <c r="G4971" t="s">
        <v>35</v>
      </c>
      <c r="H4971" t="s">
        <v>16</v>
      </c>
      <c r="I4971" t="s">
        <v>1860</v>
      </c>
      <c r="J4971" t="s">
        <v>1861</v>
      </c>
      <c r="K4971" t="s">
        <v>1809</v>
      </c>
      <c r="L4971" t="str">
        <f>HYPERLINK("https://business-monitor.ch/de/companies/1156141-swiss-allround-service-florim-muslija?utm_source=oberaargau","PROFIL ANSEHEN")</f>
        <v>PROFIL ANSEHEN</v>
      </c>
    </row>
    <row r="4972" spans="1:12" x14ac:dyDescent="0.2">
      <c r="A4972" t="s">
        <v>7240</v>
      </c>
      <c r="B4972" t="s">
        <v>7241</v>
      </c>
      <c r="C4972" t="s">
        <v>1812</v>
      </c>
      <c r="E4972" t="s">
        <v>6152</v>
      </c>
      <c r="F4972">
        <v>4900</v>
      </c>
      <c r="G4972" t="s">
        <v>41</v>
      </c>
      <c r="H4972" t="s">
        <v>16</v>
      </c>
      <c r="I4972" t="s">
        <v>1835</v>
      </c>
      <c r="J4972" t="s">
        <v>1836</v>
      </c>
      <c r="K4972" t="s">
        <v>1809</v>
      </c>
      <c r="L4972" t="str">
        <f>HYPERLINK("https://business-monitor.ch/de/companies/1025440-bulaku-reinigung?utm_source=oberaargau","PROFIL ANSEHEN")</f>
        <v>PROFIL ANSEHEN</v>
      </c>
    </row>
    <row r="4973" spans="1:12" x14ac:dyDescent="0.2">
      <c r="A4973" t="s">
        <v>12450</v>
      </c>
      <c r="B4973" t="s">
        <v>12451</v>
      </c>
      <c r="C4973" t="s">
        <v>1812</v>
      </c>
      <c r="E4973" t="s">
        <v>12452</v>
      </c>
      <c r="F4973">
        <v>3362</v>
      </c>
      <c r="G4973" t="s">
        <v>47</v>
      </c>
      <c r="H4973" t="s">
        <v>16</v>
      </c>
      <c r="I4973" t="s">
        <v>854</v>
      </c>
      <c r="J4973" t="s">
        <v>855</v>
      </c>
      <c r="K4973" t="s">
        <v>1809</v>
      </c>
      <c r="L4973" t="str">
        <f>HYPERLINK("https://business-monitor.ch/de/companies/1197501-hug-web-services?utm_source=oberaargau","PROFIL ANSEHEN")</f>
        <v>PROFIL ANSEHEN</v>
      </c>
    </row>
    <row r="4974" spans="1:12" x14ac:dyDescent="0.2">
      <c r="A4974" t="s">
        <v>3847</v>
      </c>
      <c r="B4974" t="s">
        <v>3848</v>
      </c>
      <c r="C4974" t="s">
        <v>1812</v>
      </c>
      <c r="E4974" t="s">
        <v>3849</v>
      </c>
      <c r="F4974">
        <v>4900</v>
      </c>
      <c r="G4974" t="s">
        <v>41</v>
      </c>
      <c r="H4974" t="s">
        <v>16</v>
      </c>
      <c r="I4974" t="s">
        <v>1860</v>
      </c>
      <c r="J4974" t="s">
        <v>1861</v>
      </c>
      <c r="K4974" t="s">
        <v>1809</v>
      </c>
      <c r="L4974" t="str">
        <f>HYPERLINK("https://business-monitor.ch/de/companies/656439-coiffure-sie-und-er-manuela-rentsch-trachsel?utm_source=oberaargau","PROFIL ANSEHEN")</f>
        <v>PROFIL ANSEHEN</v>
      </c>
    </row>
    <row r="4975" spans="1:12" x14ac:dyDescent="0.2">
      <c r="A4975" t="s">
        <v>14699</v>
      </c>
      <c r="B4975" t="s">
        <v>14700</v>
      </c>
      <c r="C4975" t="s">
        <v>1812</v>
      </c>
      <c r="E4975" t="s">
        <v>5992</v>
      </c>
      <c r="F4975">
        <v>4923</v>
      </c>
      <c r="G4975" t="s">
        <v>732</v>
      </c>
      <c r="H4975" t="s">
        <v>16</v>
      </c>
      <c r="I4975" t="s">
        <v>1062</v>
      </c>
      <c r="J4975" t="s">
        <v>1063</v>
      </c>
      <c r="K4975" t="s">
        <v>1809</v>
      </c>
      <c r="L4975" t="str">
        <f>HYPERLINK("https://business-monitor.ch/de/companies/1302803-krama-plattenleger-inh-stingaciu?utm_source=oberaargau","PROFIL ANSEHEN")</f>
        <v>PROFIL ANSEHEN</v>
      </c>
    </row>
    <row r="4976" spans="1:12" x14ac:dyDescent="0.2">
      <c r="A4976" t="s">
        <v>5400</v>
      </c>
      <c r="B4976" t="s">
        <v>9481</v>
      </c>
      <c r="C4976" t="s">
        <v>1922</v>
      </c>
      <c r="D4976" t="s">
        <v>9482</v>
      </c>
      <c r="E4976" t="s">
        <v>9483</v>
      </c>
      <c r="F4976">
        <v>4917</v>
      </c>
      <c r="G4976" t="s">
        <v>376</v>
      </c>
      <c r="H4976" t="s">
        <v>16</v>
      </c>
      <c r="I4976" t="s">
        <v>1924</v>
      </c>
      <c r="J4976" t="s">
        <v>1925</v>
      </c>
      <c r="K4976" t="s">
        <v>1809</v>
      </c>
      <c r="L4976" t="str">
        <f>HYPERLINK("https://business-monitor.ch/de/companies/279960-stiftung-burgruine-gruenenberg-melchnau?utm_source=oberaargau","PROFIL ANSEHEN")</f>
        <v>PROFIL ANSEHEN</v>
      </c>
    </row>
    <row r="4977" spans="1:12" x14ac:dyDescent="0.2">
      <c r="A4977" t="s">
        <v>7171</v>
      </c>
      <c r="B4977" t="s">
        <v>7172</v>
      </c>
      <c r="C4977" t="s">
        <v>202</v>
      </c>
      <c r="E4977" t="s">
        <v>4422</v>
      </c>
      <c r="F4977">
        <v>3373</v>
      </c>
      <c r="G4977" t="s">
        <v>2429</v>
      </c>
      <c r="H4977" t="s">
        <v>16</v>
      </c>
      <c r="I4977" t="s">
        <v>662</v>
      </c>
      <c r="J4977" t="s">
        <v>663</v>
      </c>
      <c r="K4977" t="s">
        <v>1809</v>
      </c>
      <c r="L4977" t="str">
        <f>HYPERLINK("https://business-monitor.ch/de/companies/724960-reinmann-dach-und-fassadenbau-gmbh?utm_source=oberaargau","PROFIL ANSEHEN")</f>
        <v>PROFIL ANSEHEN</v>
      </c>
    </row>
    <row r="4978" spans="1:12" x14ac:dyDescent="0.2">
      <c r="A4978" t="s">
        <v>9648</v>
      </c>
      <c r="B4978" t="s">
        <v>9649</v>
      </c>
      <c r="C4978" t="s">
        <v>202</v>
      </c>
      <c r="D4978" t="s">
        <v>9650</v>
      </c>
      <c r="E4978" t="s">
        <v>3414</v>
      </c>
      <c r="F4978">
        <v>4900</v>
      </c>
      <c r="G4978" t="s">
        <v>41</v>
      </c>
      <c r="H4978" t="s">
        <v>16</v>
      </c>
      <c r="I4978" t="s">
        <v>186</v>
      </c>
      <c r="J4978" t="s">
        <v>187</v>
      </c>
      <c r="K4978" t="s">
        <v>1809</v>
      </c>
      <c r="L4978" t="str">
        <f>HYPERLINK("https://business-monitor.ch/de/companies/983470-hugi-beteiligungs-gmbh?utm_source=oberaargau","PROFIL ANSEHEN")</f>
        <v>PROFIL ANSEHEN</v>
      </c>
    </row>
    <row r="4979" spans="1:12" x14ac:dyDescent="0.2">
      <c r="A4979" t="s">
        <v>2431</v>
      </c>
      <c r="B4979" t="s">
        <v>12019</v>
      </c>
      <c r="C4979" t="s">
        <v>202</v>
      </c>
      <c r="E4979" t="s">
        <v>2432</v>
      </c>
      <c r="F4979">
        <v>3360</v>
      </c>
      <c r="G4979" t="s">
        <v>35</v>
      </c>
      <c r="H4979" t="s">
        <v>16</v>
      </c>
      <c r="I4979" t="s">
        <v>2433</v>
      </c>
      <c r="J4979" t="s">
        <v>2434</v>
      </c>
      <c r="K4979" t="s">
        <v>1809</v>
      </c>
      <c r="L4979" t="str">
        <f>HYPERLINK("https://business-monitor.ch/de/companies/522376-powertronik-gmbh?utm_source=oberaargau","PROFIL ANSEHEN")</f>
        <v>PROFIL ANSEHEN</v>
      </c>
    </row>
    <row r="4980" spans="1:12" x14ac:dyDescent="0.2">
      <c r="A4980" t="s">
        <v>8411</v>
      </c>
      <c r="B4980" t="s">
        <v>8412</v>
      </c>
      <c r="C4980" t="s">
        <v>13</v>
      </c>
      <c r="E4980" t="s">
        <v>5219</v>
      </c>
      <c r="F4980">
        <v>4900</v>
      </c>
      <c r="G4980" t="s">
        <v>41</v>
      </c>
      <c r="H4980" t="s">
        <v>16</v>
      </c>
      <c r="I4980" t="s">
        <v>1528</v>
      </c>
      <c r="J4980" t="s">
        <v>1529</v>
      </c>
      <c r="K4980" t="s">
        <v>1809</v>
      </c>
      <c r="L4980" t="str">
        <f>HYPERLINK("https://business-monitor.ch/de/companies/524435-prof-dr-iur-peter-ruf-ag?utm_source=oberaargau","PROFIL ANSEHEN")</f>
        <v>PROFIL ANSEHEN</v>
      </c>
    </row>
    <row r="4981" spans="1:12" x14ac:dyDescent="0.2">
      <c r="A4981" t="s">
        <v>5349</v>
      </c>
      <c r="B4981" t="s">
        <v>5350</v>
      </c>
      <c r="C4981" t="s">
        <v>1812</v>
      </c>
      <c r="E4981" t="s">
        <v>5351</v>
      </c>
      <c r="F4981">
        <v>4952</v>
      </c>
      <c r="G4981" t="s">
        <v>474</v>
      </c>
      <c r="H4981" t="s">
        <v>16</v>
      </c>
      <c r="I4981" t="s">
        <v>1245</v>
      </c>
      <c r="J4981" t="s">
        <v>1246</v>
      </c>
      <c r="K4981" t="s">
        <v>1809</v>
      </c>
      <c r="L4981" t="str">
        <f>HYPERLINK("https://business-monitor.ch/de/companies/216100-briefbox-rutschmann?utm_source=oberaargau","PROFIL ANSEHEN")</f>
        <v>PROFIL ANSEHEN</v>
      </c>
    </row>
    <row r="4982" spans="1:12" x14ac:dyDescent="0.2">
      <c r="A4982" t="s">
        <v>10177</v>
      </c>
      <c r="B4982" t="s">
        <v>10178</v>
      </c>
      <c r="C4982" t="s">
        <v>1812</v>
      </c>
      <c r="E4982" t="s">
        <v>10179</v>
      </c>
      <c r="F4982">
        <v>4704</v>
      </c>
      <c r="G4982" t="s">
        <v>221</v>
      </c>
      <c r="H4982" t="s">
        <v>16</v>
      </c>
      <c r="I4982" t="s">
        <v>4547</v>
      </c>
      <c r="J4982" t="s">
        <v>4548</v>
      </c>
      <c r="K4982" t="s">
        <v>1809</v>
      </c>
      <c r="L4982" t="str">
        <f>HYPERLINK("https://business-monitor.ch/de/companies/637612-denner-partner-inhaber-markus-fankhauser?utm_source=oberaargau","PROFIL ANSEHEN")</f>
        <v>PROFIL ANSEHEN</v>
      </c>
    </row>
    <row r="4983" spans="1:12" x14ac:dyDescent="0.2">
      <c r="A4983" t="s">
        <v>7819</v>
      </c>
      <c r="B4983" t="s">
        <v>7820</v>
      </c>
      <c r="C4983" t="s">
        <v>202</v>
      </c>
      <c r="E4983" t="s">
        <v>3791</v>
      </c>
      <c r="F4983">
        <v>4538</v>
      </c>
      <c r="G4983" t="s">
        <v>71</v>
      </c>
      <c r="H4983" t="s">
        <v>16</v>
      </c>
      <c r="I4983" t="s">
        <v>551</v>
      </c>
      <c r="J4983" t="s">
        <v>552</v>
      </c>
      <c r="K4983" t="s">
        <v>1809</v>
      </c>
      <c r="L4983" t="str">
        <f>HYPERLINK("https://business-monitor.ch/de/companies/538292-mubor-consulting-gmbh?utm_source=oberaargau","PROFIL ANSEHEN")</f>
        <v>PROFIL ANSEHEN</v>
      </c>
    </row>
    <row r="4984" spans="1:12" x14ac:dyDescent="0.2">
      <c r="A4984" t="s">
        <v>10243</v>
      </c>
      <c r="B4984" t="s">
        <v>10244</v>
      </c>
      <c r="C4984" t="s">
        <v>1812</v>
      </c>
      <c r="E4984" t="s">
        <v>6543</v>
      </c>
      <c r="F4984">
        <v>4922</v>
      </c>
      <c r="G4984" t="s">
        <v>99</v>
      </c>
      <c r="H4984" t="s">
        <v>16</v>
      </c>
      <c r="I4984" t="s">
        <v>2050</v>
      </c>
      <c r="J4984" t="s">
        <v>2051</v>
      </c>
      <c r="K4984" t="s">
        <v>1809</v>
      </c>
      <c r="L4984" t="str">
        <f>HYPERLINK("https://business-monitor.ch/de/companies/600306-grill-shop-scheidegger?utm_source=oberaargau","PROFIL ANSEHEN")</f>
        <v>PROFIL ANSEHEN</v>
      </c>
    </row>
    <row r="4985" spans="1:12" x14ac:dyDescent="0.2">
      <c r="A4985" t="s">
        <v>12058</v>
      </c>
      <c r="B4985" t="s">
        <v>12059</v>
      </c>
      <c r="C4985" t="s">
        <v>13</v>
      </c>
      <c r="E4985" t="s">
        <v>1733</v>
      </c>
      <c r="F4985">
        <v>4900</v>
      </c>
      <c r="G4985" t="s">
        <v>41</v>
      </c>
      <c r="H4985" t="s">
        <v>16</v>
      </c>
      <c r="I4985" t="s">
        <v>587</v>
      </c>
      <c r="J4985" t="s">
        <v>588</v>
      </c>
      <c r="K4985" t="s">
        <v>1809</v>
      </c>
      <c r="L4985" t="str">
        <f>HYPERLINK("https://business-monitor.ch/de/companies/185251-haeusler-consultech-ag?utm_source=oberaargau","PROFIL ANSEHEN")</f>
        <v>PROFIL ANSEHEN</v>
      </c>
    </row>
    <row r="4986" spans="1:12" x14ac:dyDescent="0.2">
      <c r="A4986" t="s">
        <v>7234</v>
      </c>
      <c r="B4986" t="s">
        <v>7235</v>
      </c>
      <c r="C4986" t="s">
        <v>13</v>
      </c>
      <c r="E4986" t="s">
        <v>7236</v>
      </c>
      <c r="F4986">
        <v>3360</v>
      </c>
      <c r="G4986" t="s">
        <v>35</v>
      </c>
      <c r="H4986" t="s">
        <v>16</v>
      </c>
      <c r="I4986" t="s">
        <v>1097</v>
      </c>
      <c r="J4986" t="s">
        <v>1098</v>
      </c>
      <c r="K4986" t="s">
        <v>1809</v>
      </c>
      <c r="L4986" t="str">
        <f>HYPERLINK("https://business-monitor.ch/de/companies/1026636-daimex-ag?utm_source=oberaargau","PROFIL ANSEHEN")</f>
        <v>PROFIL ANSEHEN</v>
      </c>
    </row>
    <row r="4987" spans="1:12" x14ac:dyDescent="0.2">
      <c r="A4987" t="s">
        <v>7858</v>
      </c>
      <c r="B4987" t="s">
        <v>7859</v>
      </c>
      <c r="C4987" t="s">
        <v>1812</v>
      </c>
      <c r="E4987" t="s">
        <v>3930</v>
      </c>
      <c r="F4987">
        <v>4932</v>
      </c>
      <c r="G4987" t="s">
        <v>325</v>
      </c>
      <c r="H4987" t="s">
        <v>16</v>
      </c>
      <c r="I4987" t="s">
        <v>1952</v>
      </c>
      <c r="J4987" t="s">
        <v>1953</v>
      </c>
      <c r="K4987" t="s">
        <v>1809</v>
      </c>
      <c r="L4987" t="str">
        <f>HYPERLINK("https://business-monitor.ch/de/companies/508478-brennerei-lanz?utm_source=oberaargau","PROFIL ANSEHEN")</f>
        <v>PROFIL ANSEHEN</v>
      </c>
    </row>
    <row r="4988" spans="1:12" x14ac:dyDescent="0.2">
      <c r="A4988" t="s">
        <v>11684</v>
      </c>
      <c r="B4988" t="s">
        <v>11662</v>
      </c>
      <c r="C4988" t="s">
        <v>1827</v>
      </c>
      <c r="E4988" t="s">
        <v>11663</v>
      </c>
      <c r="F4988">
        <v>3476</v>
      </c>
      <c r="G4988" t="s">
        <v>3506</v>
      </c>
      <c r="H4988" t="s">
        <v>16</v>
      </c>
      <c r="I4988" t="s">
        <v>9750</v>
      </c>
      <c r="J4988" t="s">
        <v>9751</v>
      </c>
      <c r="K4988" t="s">
        <v>1809</v>
      </c>
      <c r="L4988" t="str">
        <f>HYPERLINK("https://business-monitor.ch/de/companies/1163448-martin-und-peter-eberhard-klg?utm_source=oberaargau","PROFIL ANSEHEN")</f>
        <v>PROFIL ANSEHEN</v>
      </c>
    </row>
    <row r="4989" spans="1:12" x14ac:dyDescent="0.2">
      <c r="A4989" t="s">
        <v>2324</v>
      </c>
      <c r="B4989" t="s">
        <v>2325</v>
      </c>
      <c r="C4989" t="s">
        <v>1812</v>
      </c>
      <c r="E4989" t="s">
        <v>2326</v>
      </c>
      <c r="F4989">
        <v>3367</v>
      </c>
      <c r="G4989" t="s">
        <v>455</v>
      </c>
      <c r="H4989" t="s">
        <v>16</v>
      </c>
      <c r="I4989" t="s">
        <v>1535</v>
      </c>
      <c r="J4989" t="s">
        <v>1536</v>
      </c>
      <c r="K4989" t="s">
        <v>1809</v>
      </c>
      <c r="L4989" t="str">
        <f>HYPERLINK("https://business-monitor.ch/de/companies/225835-samuel-guenter-gartenbau?utm_source=oberaargau","PROFIL ANSEHEN")</f>
        <v>PROFIL ANSEHEN</v>
      </c>
    </row>
    <row r="4990" spans="1:12" x14ac:dyDescent="0.2">
      <c r="A4990" t="s">
        <v>4789</v>
      </c>
      <c r="B4990" t="s">
        <v>4790</v>
      </c>
      <c r="C4990" t="s">
        <v>1812</v>
      </c>
      <c r="E4990" t="s">
        <v>3701</v>
      </c>
      <c r="F4990">
        <v>4914</v>
      </c>
      <c r="G4990" t="s">
        <v>105</v>
      </c>
      <c r="H4990" t="s">
        <v>16</v>
      </c>
      <c r="I4990" t="s">
        <v>1485</v>
      </c>
      <c r="J4990" t="s">
        <v>1486</v>
      </c>
      <c r="K4990" t="s">
        <v>1809</v>
      </c>
      <c r="L4990" t="str">
        <f>HYPERLINK("https://business-monitor.ch/de/companies/560126-dorflade-katrin-bigler?utm_source=oberaargau","PROFIL ANSEHEN")</f>
        <v>PROFIL ANSEHEN</v>
      </c>
    </row>
    <row r="4991" spans="1:12" x14ac:dyDescent="0.2">
      <c r="A4991" t="s">
        <v>10310</v>
      </c>
      <c r="B4991" t="s">
        <v>10311</v>
      </c>
      <c r="C4991" t="s">
        <v>1812</v>
      </c>
      <c r="E4991" t="s">
        <v>1078</v>
      </c>
      <c r="F4991">
        <v>4536</v>
      </c>
      <c r="G4991" t="s">
        <v>1395</v>
      </c>
      <c r="H4991" t="s">
        <v>16</v>
      </c>
      <c r="I4991" t="s">
        <v>551</v>
      </c>
      <c r="J4991" t="s">
        <v>552</v>
      </c>
      <c r="K4991" t="s">
        <v>1809</v>
      </c>
      <c r="L4991" t="str">
        <f>HYPERLINK("https://business-monitor.ch/de/companies/560458-coloro-consulting-loosli?utm_source=oberaargau","PROFIL ANSEHEN")</f>
        <v>PROFIL ANSEHEN</v>
      </c>
    </row>
    <row r="4992" spans="1:12" x14ac:dyDescent="0.2">
      <c r="A4992" t="s">
        <v>5727</v>
      </c>
      <c r="B4992" t="s">
        <v>5728</v>
      </c>
      <c r="C4992" t="s">
        <v>1812</v>
      </c>
      <c r="E4992" t="s">
        <v>5729</v>
      </c>
      <c r="F4992">
        <v>4900</v>
      </c>
      <c r="G4992" t="s">
        <v>41</v>
      </c>
      <c r="H4992" t="s">
        <v>16</v>
      </c>
      <c r="I4992" t="s">
        <v>260</v>
      </c>
      <c r="J4992" t="s">
        <v>261</v>
      </c>
      <c r="K4992" t="s">
        <v>1809</v>
      </c>
      <c r="L4992" t="str">
        <f>HYPERLINK("https://business-monitor.ch/de/companies/56490-ardelogis-rudolf-sieber-architekturbuero?utm_source=oberaargau","PROFIL ANSEHEN")</f>
        <v>PROFIL ANSEHEN</v>
      </c>
    </row>
    <row r="4993" spans="1:12" x14ac:dyDescent="0.2">
      <c r="A4993" t="s">
        <v>10306</v>
      </c>
      <c r="B4993" t="s">
        <v>10307</v>
      </c>
      <c r="C4993" t="s">
        <v>1812</v>
      </c>
      <c r="E4993" t="s">
        <v>2133</v>
      </c>
      <c r="F4993">
        <v>4952</v>
      </c>
      <c r="G4993" t="s">
        <v>474</v>
      </c>
      <c r="H4993" t="s">
        <v>16</v>
      </c>
      <c r="I4993" t="s">
        <v>134</v>
      </c>
      <c r="J4993" t="s">
        <v>135</v>
      </c>
      <c r="K4993" t="s">
        <v>1809</v>
      </c>
      <c r="L4993" t="str">
        <f>HYPERLINK("https://business-monitor.ch/de/companies/562732-zoltan-montage?utm_source=oberaargau","PROFIL ANSEHEN")</f>
        <v>PROFIL ANSEHEN</v>
      </c>
    </row>
    <row r="4994" spans="1:12" x14ac:dyDescent="0.2">
      <c r="A4994" t="s">
        <v>8087</v>
      </c>
      <c r="B4994" t="s">
        <v>8088</v>
      </c>
      <c r="C4994" t="s">
        <v>202</v>
      </c>
      <c r="E4994" t="s">
        <v>8089</v>
      </c>
      <c r="F4994">
        <v>4537</v>
      </c>
      <c r="G4994" t="s">
        <v>113</v>
      </c>
      <c r="H4994" t="s">
        <v>16</v>
      </c>
      <c r="I4994" t="s">
        <v>2327</v>
      </c>
      <c r="J4994" t="s">
        <v>2328</v>
      </c>
      <c r="K4994" t="s">
        <v>1809</v>
      </c>
      <c r="L4994" t="str">
        <f>HYPERLINK("https://business-monitor.ch/de/companies/1071878-snack-de-heck-permanent-culture-gmbh?utm_source=oberaargau","PROFIL ANSEHEN")</f>
        <v>PROFIL ANSEHEN</v>
      </c>
    </row>
    <row r="4995" spans="1:12" x14ac:dyDescent="0.2">
      <c r="A4995" t="s">
        <v>456</v>
      </c>
      <c r="B4995" t="s">
        <v>6201</v>
      </c>
      <c r="C4995" t="s">
        <v>202</v>
      </c>
      <c r="E4995" t="s">
        <v>6202</v>
      </c>
      <c r="F4995">
        <v>4938</v>
      </c>
      <c r="G4995" t="s">
        <v>618</v>
      </c>
      <c r="H4995" t="s">
        <v>16</v>
      </c>
      <c r="I4995" t="s">
        <v>624</v>
      </c>
      <c r="J4995" t="s">
        <v>625</v>
      </c>
      <c r="K4995" t="s">
        <v>1809</v>
      </c>
      <c r="L4995" t="str">
        <f>HYPERLINK("https://business-monitor.ch/de/companies/374943-vision-holz-gmbh?utm_source=oberaargau","PROFIL ANSEHEN")</f>
        <v>PROFIL ANSEHEN</v>
      </c>
    </row>
    <row r="4996" spans="1:12" x14ac:dyDescent="0.2">
      <c r="A4996" t="s">
        <v>8190</v>
      </c>
      <c r="B4996" t="s">
        <v>8191</v>
      </c>
      <c r="C4996" t="s">
        <v>1812</v>
      </c>
      <c r="E4996" t="s">
        <v>8192</v>
      </c>
      <c r="F4996">
        <v>4704</v>
      </c>
      <c r="G4996" t="s">
        <v>221</v>
      </c>
      <c r="H4996" t="s">
        <v>16</v>
      </c>
      <c r="I4996" t="s">
        <v>2275</v>
      </c>
      <c r="J4996" t="s">
        <v>2276</v>
      </c>
      <c r="K4996" t="s">
        <v>1809</v>
      </c>
      <c r="L4996" t="str">
        <f>HYPERLINK("https://business-monitor.ch/de/companies/173403-inneneinrichtungen-heinz-roth?utm_source=oberaargau","PROFIL ANSEHEN")</f>
        <v>PROFIL ANSEHEN</v>
      </c>
    </row>
    <row r="4997" spans="1:12" x14ac:dyDescent="0.2">
      <c r="A4997" t="s">
        <v>5663</v>
      </c>
      <c r="B4997" t="s">
        <v>5664</v>
      </c>
      <c r="C4997" t="s">
        <v>1812</v>
      </c>
      <c r="E4997" t="s">
        <v>5665</v>
      </c>
      <c r="F4997">
        <v>4934</v>
      </c>
      <c r="G4997" t="s">
        <v>670</v>
      </c>
      <c r="H4997" t="s">
        <v>16</v>
      </c>
      <c r="I4997" t="s">
        <v>2555</v>
      </c>
      <c r="J4997" t="s">
        <v>2556</v>
      </c>
      <c r="K4997" t="s">
        <v>1809</v>
      </c>
      <c r="L4997" t="str">
        <f>HYPERLINK("https://business-monitor.ch/de/companies/227938-mc-electronics-morgenthaler?utm_source=oberaargau","PROFIL ANSEHEN")</f>
        <v>PROFIL ANSEHEN</v>
      </c>
    </row>
    <row r="4998" spans="1:12" x14ac:dyDescent="0.2">
      <c r="A4998" t="s">
        <v>6024</v>
      </c>
      <c r="B4998" t="s">
        <v>6025</v>
      </c>
      <c r="C4998" t="s">
        <v>1812</v>
      </c>
      <c r="E4998" t="s">
        <v>6026</v>
      </c>
      <c r="F4998">
        <v>4538</v>
      </c>
      <c r="G4998" t="s">
        <v>71</v>
      </c>
      <c r="H4998" t="s">
        <v>16</v>
      </c>
      <c r="I4998" t="s">
        <v>3068</v>
      </c>
      <c r="J4998" t="s">
        <v>3069</v>
      </c>
      <c r="K4998" t="s">
        <v>1809</v>
      </c>
      <c r="L4998" t="str">
        <f>HYPERLINK("https://business-monitor.ch/de/companies/434109-vetter-s-dienstleistungen?utm_source=oberaargau","PROFIL ANSEHEN")</f>
        <v>PROFIL ANSEHEN</v>
      </c>
    </row>
    <row r="4999" spans="1:12" x14ac:dyDescent="0.2">
      <c r="A4999" t="s">
        <v>4945</v>
      </c>
      <c r="B4999" t="s">
        <v>4946</v>
      </c>
      <c r="C4999" t="s">
        <v>13</v>
      </c>
      <c r="E4999" t="s">
        <v>448</v>
      </c>
      <c r="F4999">
        <v>4538</v>
      </c>
      <c r="G4999" t="s">
        <v>71</v>
      </c>
      <c r="H4999" t="s">
        <v>16</v>
      </c>
      <c r="I4999" t="s">
        <v>186</v>
      </c>
      <c r="J4999" t="s">
        <v>187</v>
      </c>
      <c r="K4999" t="s">
        <v>1809</v>
      </c>
      <c r="L4999" t="str">
        <f>HYPERLINK("https://business-monitor.ch/de/companies/1065848-his-beteiligungen-ag?utm_source=oberaargau","PROFIL ANSEHEN")</f>
        <v>PROFIL ANSEHEN</v>
      </c>
    </row>
    <row r="5000" spans="1:12" x14ac:dyDescent="0.2">
      <c r="A5000" t="s">
        <v>9745</v>
      </c>
      <c r="B5000" t="s">
        <v>9746</v>
      </c>
      <c r="C5000" t="s">
        <v>13</v>
      </c>
      <c r="E5000" t="s">
        <v>5555</v>
      </c>
      <c r="F5000">
        <v>4704</v>
      </c>
      <c r="G5000" t="s">
        <v>221</v>
      </c>
      <c r="H5000" t="s">
        <v>16</v>
      </c>
      <c r="I5000" t="s">
        <v>186</v>
      </c>
      <c r="J5000" t="s">
        <v>187</v>
      </c>
      <c r="K5000" t="s">
        <v>1809</v>
      </c>
      <c r="L5000" t="str">
        <f>HYPERLINK("https://business-monitor.ch/de/companies/1033469-petcenter-ch-holding-ag?utm_source=oberaargau","PROFIL ANSEHEN")</f>
        <v>PROFIL ANSEHEN</v>
      </c>
    </row>
    <row r="5001" spans="1:12" x14ac:dyDescent="0.2">
      <c r="A5001" t="s">
        <v>4750</v>
      </c>
      <c r="B5001" t="s">
        <v>4751</v>
      </c>
      <c r="C5001" t="s">
        <v>13</v>
      </c>
      <c r="D5001" t="s">
        <v>4752</v>
      </c>
      <c r="E5001" t="s">
        <v>468</v>
      </c>
      <c r="F5001">
        <v>4900</v>
      </c>
      <c r="G5001" t="s">
        <v>41</v>
      </c>
      <c r="H5001" t="s">
        <v>16</v>
      </c>
      <c r="I5001" t="s">
        <v>186</v>
      </c>
      <c r="J5001" t="s">
        <v>187</v>
      </c>
      <c r="K5001" t="s">
        <v>1809</v>
      </c>
      <c r="L5001" t="str">
        <f>HYPERLINK("https://business-monitor.ch/de/companies/578033-beach-holding-ag?utm_source=oberaargau","PROFIL ANSEHEN")</f>
        <v>PROFIL ANSEHEN</v>
      </c>
    </row>
    <row r="5002" spans="1:12" x14ac:dyDescent="0.2">
      <c r="A5002" t="s">
        <v>11329</v>
      </c>
      <c r="B5002" t="s">
        <v>11330</v>
      </c>
      <c r="C5002" t="s">
        <v>202</v>
      </c>
      <c r="E5002" t="s">
        <v>11331</v>
      </c>
      <c r="F5002">
        <v>4900</v>
      </c>
      <c r="G5002" t="s">
        <v>41</v>
      </c>
      <c r="H5002" t="s">
        <v>16</v>
      </c>
      <c r="I5002" t="s">
        <v>7350</v>
      </c>
      <c r="J5002" t="s">
        <v>7351</v>
      </c>
      <c r="K5002" t="s">
        <v>1809</v>
      </c>
      <c r="L5002" t="str">
        <f>HYPERLINK("https://business-monitor.ch/de/companies/1126369-avantgarde-dienste-gmbh?utm_source=oberaargau","PROFIL ANSEHEN")</f>
        <v>PROFIL ANSEHEN</v>
      </c>
    </row>
    <row r="5003" spans="1:12" x14ac:dyDescent="0.2">
      <c r="A5003" t="s">
        <v>4743</v>
      </c>
      <c r="B5003" t="s">
        <v>4744</v>
      </c>
      <c r="C5003" t="s">
        <v>13</v>
      </c>
      <c r="D5003" t="s">
        <v>4745</v>
      </c>
      <c r="E5003" t="s">
        <v>1084</v>
      </c>
      <c r="F5003">
        <v>4900</v>
      </c>
      <c r="G5003" t="s">
        <v>41</v>
      </c>
      <c r="H5003" t="s">
        <v>16</v>
      </c>
      <c r="I5003" t="s">
        <v>966</v>
      </c>
      <c r="J5003" t="s">
        <v>967</v>
      </c>
      <c r="K5003" t="s">
        <v>1809</v>
      </c>
      <c r="L5003" t="str">
        <f>HYPERLINK("https://business-monitor.ch/de/companies/581136-forsthaus-immo-ag?utm_source=oberaargau","PROFIL ANSEHEN")</f>
        <v>PROFIL ANSEHEN</v>
      </c>
    </row>
    <row r="5004" spans="1:12" x14ac:dyDescent="0.2">
      <c r="A5004" t="s">
        <v>11351</v>
      </c>
      <c r="B5004" t="s">
        <v>11352</v>
      </c>
      <c r="C5004" t="s">
        <v>202</v>
      </c>
      <c r="E5004" t="s">
        <v>339</v>
      </c>
      <c r="F5004">
        <v>3360</v>
      </c>
      <c r="G5004" t="s">
        <v>35</v>
      </c>
      <c r="H5004" t="s">
        <v>16</v>
      </c>
      <c r="I5004" t="s">
        <v>2187</v>
      </c>
      <c r="J5004" t="s">
        <v>2188</v>
      </c>
      <c r="K5004" t="s">
        <v>1809</v>
      </c>
      <c r="L5004" t="str">
        <f>HYPERLINK("https://business-monitor.ch/de/companies/1129811-r-v-store-gmbh?utm_source=oberaargau","PROFIL ANSEHEN")</f>
        <v>PROFIL ANSEHEN</v>
      </c>
    </row>
    <row r="5005" spans="1:12" x14ac:dyDescent="0.2">
      <c r="A5005" t="s">
        <v>4736</v>
      </c>
      <c r="B5005" t="s">
        <v>4737</v>
      </c>
      <c r="C5005" t="s">
        <v>202</v>
      </c>
      <c r="E5005" t="s">
        <v>2084</v>
      </c>
      <c r="F5005">
        <v>4937</v>
      </c>
      <c r="G5005" t="s">
        <v>951</v>
      </c>
      <c r="H5005" t="s">
        <v>16</v>
      </c>
      <c r="I5005" t="s">
        <v>824</v>
      </c>
      <c r="J5005" t="s">
        <v>825</v>
      </c>
      <c r="K5005" t="s">
        <v>1809</v>
      </c>
      <c r="L5005" t="str">
        <f>HYPERLINK("https://business-monitor.ch/de/companies/583810-restaurant-kreuz-ursenbach-gmbh?utm_source=oberaargau","PROFIL ANSEHEN")</f>
        <v>PROFIL ANSEHEN</v>
      </c>
    </row>
    <row r="5006" spans="1:12" x14ac:dyDescent="0.2">
      <c r="A5006" t="s">
        <v>9688</v>
      </c>
      <c r="B5006" t="s">
        <v>9689</v>
      </c>
      <c r="C5006" t="s">
        <v>202</v>
      </c>
      <c r="E5006" t="s">
        <v>3288</v>
      </c>
      <c r="F5006">
        <v>4900</v>
      </c>
      <c r="G5006" t="s">
        <v>41</v>
      </c>
      <c r="H5006" t="s">
        <v>16</v>
      </c>
      <c r="I5006" t="s">
        <v>2849</v>
      </c>
      <c r="J5006" t="s">
        <v>2850</v>
      </c>
      <c r="K5006" t="s">
        <v>1809</v>
      </c>
      <c r="L5006" t="str">
        <f>HYPERLINK("https://business-monitor.ch/de/companies/1045824-step-ara-gmbh?utm_source=oberaargau","PROFIL ANSEHEN")</f>
        <v>PROFIL ANSEHEN</v>
      </c>
    </row>
    <row r="5007" spans="1:12" x14ac:dyDescent="0.2">
      <c r="A5007" t="s">
        <v>7755</v>
      </c>
      <c r="B5007" t="s">
        <v>7756</v>
      </c>
      <c r="C5007" t="s">
        <v>1812</v>
      </c>
      <c r="E5007" t="s">
        <v>7757</v>
      </c>
      <c r="F5007">
        <v>4900</v>
      </c>
      <c r="G5007" t="s">
        <v>41</v>
      </c>
      <c r="H5007" t="s">
        <v>16</v>
      </c>
      <c r="I5007" t="s">
        <v>475</v>
      </c>
      <c r="J5007" t="s">
        <v>476</v>
      </c>
      <c r="K5007" t="s">
        <v>1809</v>
      </c>
      <c r="L5007" t="str">
        <f>HYPERLINK("https://business-monitor.ch/de/companies/584827-technologieberatung-w-stark?utm_source=oberaargau","PROFIL ANSEHEN")</f>
        <v>PROFIL ANSEHEN</v>
      </c>
    </row>
    <row r="5008" spans="1:12" x14ac:dyDescent="0.2">
      <c r="A5008" t="s">
        <v>11386</v>
      </c>
      <c r="B5008" t="s">
        <v>11387</v>
      </c>
      <c r="C5008" t="s">
        <v>202</v>
      </c>
      <c r="E5008" t="s">
        <v>11388</v>
      </c>
      <c r="F5008">
        <v>4912</v>
      </c>
      <c r="G5008" t="s">
        <v>64</v>
      </c>
      <c r="H5008" t="s">
        <v>16</v>
      </c>
      <c r="I5008" t="s">
        <v>2939</v>
      </c>
      <c r="J5008" t="s">
        <v>2940</v>
      </c>
      <c r="K5008" t="s">
        <v>1809</v>
      </c>
      <c r="L5008" t="str">
        <f>HYPERLINK("https://business-monitor.ch/de/companies/1131203-whirlpool-geiser-gmbh?utm_source=oberaargau","PROFIL ANSEHEN")</f>
        <v>PROFIL ANSEHEN</v>
      </c>
    </row>
    <row r="5009" spans="1:12" x14ac:dyDescent="0.2">
      <c r="A5009" t="s">
        <v>3995</v>
      </c>
      <c r="B5009" t="s">
        <v>3996</v>
      </c>
      <c r="C5009" t="s">
        <v>202</v>
      </c>
      <c r="D5009" t="s">
        <v>3997</v>
      </c>
      <c r="E5009" t="s">
        <v>3998</v>
      </c>
      <c r="F5009">
        <v>3373</v>
      </c>
      <c r="G5009" t="s">
        <v>2429</v>
      </c>
      <c r="H5009" t="s">
        <v>16</v>
      </c>
      <c r="I5009" t="s">
        <v>182</v>
      </c>
      <c r="J5009" t="s">
        <v>183</v>
      </c>
      <c r="K5009" t="s">
        <v>1809</v>
      </c>
      <c r="L5009" t="str">
        <f>HYPERLINK("https://business-monitor.ch/de/companies/690806-tosito-holding-gmbh?utm_source=oberaargau","PROFIL ANSEHEN")</f>
        <v>PROFIL ANSEHEN</v>
      </c>
    </row>
    <row r="5010" spans="1:12" x14ac:dyDescent="0.2">
      <c r="A5010" t="s">
        <v>8810</v>
      </c>
      <c r="B5010" t="s">
        <v>8811</v>
      </c>
      <c r="C5010" t="s">
        <v>202</v>
      </c>
      <c r="E5010" t="s">
        <v>8812</v>
      </c>
      <c r="F5010">
        <v>3360</v>
      </c>
      <c r="G5010" t="s">
        <v>35</v>
      </c>
      <c r="H5010" t="s">
        <v>16</v>
      </c>
      <c r="I5010" t="s">
        <v>331</v>
      </c>
      <c r="J5010" t="s">
        <v>332</v>
      </c>
      <c r="K5010" t="s">
        <v>1809</v>
      </c>
      <c r="L5010" t="str">
        <f>HYPERLINK("https://business-monitor.ch/de/companies/303756-laszlo-csako-gmbh?utm_source=oberaargau","PROFIL ANSEHEN")</f>
        <v>PROFIL ANSEHEN</v>
      </c>
    </row>
    <row r="5011" spans="1:12" x14ac:dyDescent="0.2">
      <c r="A5011" t="s">
        <v>12987</v>
      </c>
      <c r="B5011" t="s">
        <v>12988</v>
      </c>
      <c r="C5011" t="s">
        <v>13</v>
      </c>
      <c r="E5011" t="s">
        <v>12989</v>
      </c>
      <c r="F5011">
        <v>4914</v>
      </c>
      <c r="G5011" t="s">
        <v>105</v>
      </c>
      <c r="H5011" t="s">
        <v>16</v>
      </c>
      <c r="I5011" t="s">
        <v>3493</v>
      </c>
      <c r="J5011" t="s">
        <v>3494</v>
      </c>
      <c r="K5011" t="s">
        <v>1809</v>
      </c>
      <c r="L5011" t="str">
        <f>HYPERLINK("https://business-monitor.ch/de/companies/1240505-marven-ag?utm_source=oberaargau","PROFIL ANSEHEN")</f>
        <v>PROFIL ANSEHEN</v>
      </c>
    </row>
    <row r="5012" spans="1:12" x14ac:dyDescent="0.2">
      <c r="A5012" t="s">
        <v>13373</v>
      </c>
      <c r="B5012" t="s">
        <v>13374</v>
      </c>
      <c r="C5012" t="s">
        <v>1812</v>
      </c>
      <c r="E5012" t="s">
        <v>1749</v>
      </c>
      <c r="F5012">
        <v>4923</v>
      </c>
      <c r="G5012" t="s">
        <v>732</v>
      </c>
      <c r="H5012" t="s">
        <v>16</v>
      </c>
      <c r="I5012" t="s">
        <v>2226</v>
      </c>
      <c r="J5012" t="s">
        <v>2227</v>
      </c>
      <c r="K5012" t="s">
        <v>1809</v>
      </c>
      <c r="L5012" t="str">
        <f>HYPERLINK("https://business-monitor.ch/de/companies/1248304-physiotherapie-gesundbewegt-denise-schweizer?utm_source=oberaargau","PROFIL ANSEHEN")</f>
        <v>PROFIL ANSEHEN</v>
      </c>
    </row>
    <row r="5013" spans="1:12" x14ac:dyDescent="0.2">
      <c r="A5013" t="s">
        <v>7139</v>
      </c>
      <c r="B5013" t="s">
        <v>7140</v>
      </c>
      <c r="C5013" t="s">
        <v>1812</v>
      </c>
      <c r="E5013" t="s">
        <v>7141</v>
      </c>
      <c r="F5013">
        <v>4537</v>
      </c>
      <c r="G5013" t="s">
        <v>113</v>
      </c>
      <c r="H5013" t="s">
        <v>16</v>
      </c>
      <c r="I5013" t="s">
        <v>2275</v>
      </c>
      <c r="J5013" t="s">
        <v>2276</v>
      </c>
      <c r="K5013" t="s">
        <v>1809</v>
      </c>
      <c r="L5013" t="str">
        <f>HYPERLINK("https://business-monitor.ch/de/companies/593685-m-esposito?utm_source=oberaargau","PROFIL ANSEHEN")</f>
        <v>PROFIL ANSEHEN</v>
      </c>
    </row>
    <row r="5014" spans="1:12" x14ac:dyDescent="0.2">
      <c r="A5014" t="s">
        <v>4173</v>
      </c>
      <c r="B5014" t="s">
        <v>4174</v>
      </c>
      <c r="C5014" t="s">
        <v>2178</v>
      </c>
      <c r="E5014" t="s">
        <v>4175</v>
      </c>
      <c r="F5014">
        <v>4950</v>
      </c>
      <c r="G5014" t="s">
        <v>15</v>
      </c>
      <c r="H5014" t="s">
        <v>16</v>
      </c>
      <c r="I5014" t="s">
        <v>570</v>
      </c>
      <c r="J5014" t="s">
        <v>571</v>
      </c>
      <c r="K5014" t="s">
        <v>1809</v>
      </c>
      <c r="L5014" t="str">
        <f>HYPERLINK("https://business-monitor.ch/de/companies/1013563-fuhrimann-gmbh?utm_source=oberaargau","PROFIL ANSEHEN")</f>
        <v>PROFIL ANSEHEN</v>
      </c>
    </row>
    <row r="5015" spans="1:12" x14ac:dyDescent="0.2">
      <c r="A5015" t="s">
        <v>11005</v>
      </c>
      <c r="B5015" t="s">
        <v>11006</v>
      </c>
      <c r="C5015" t="s">
        <v>202</v>
      </c>
      <c r="E5015" t="s">
        <v>7393</v>
      </c>
      <c r="F5015">
        <v>4934</v>
      </c>
      <c r="G5015" t="s">
        <v>670</v>
      </c>
      <c r="H5015" t="s">
        <v>16</v>
      </c>
      <c r="I5015" t="s">
        <v>260</v>
      </c>
      <c r="J5015" t="s">
        <v>261</v>
      </c>
      <c r="K5015" t="s">
        <v>1809</v>
      </c>
      <c r="L5015" t="str">
        <f>HYPERLINK("https://business-monitor.ch/de/companies/1120577-zm-bauplan-gmbh?utm_source=oberaargau","PROFIL ANSEHEN")</f>
        <v>PROFIL ANSEHEN</v>
      </c>
    </row>
    <row r="5016" spans="1:12" x14ac:dyDescent="0.2">
      <c r="A5016" t="s">
        <v>5423</v>
      </c>
      <c r="B5016" t="s">
        <v>5424</v>
      </c>
      <c r="C5016" t="s">
        <v>1812</v>
      </c>
      <c r="E5016" t="s">
        <v>5425</v>
      </c>
      <c r="F5016">
        <v>4932</v>
      </c>
      <c r="G5016" t="s">
        <v>325</v>
      </c>
      <c r="H5016" t="s">
        <v>16</v>
      </c>
      <c r="I5016" t="s">
        <v>551</v>
      </c>
      <c r="J5016" t="s">
        <v>552</v>
      </c>
      <c r="K5016" t="s">
        <v>1809</v>
      </c>
      <c r="L5016" t="str">
        <f>HYPERLINK("https://business-monitor.ch/de/companies/236976-intertrade-e-zaugg?utm_source=oberaargau","PROFIL ANSEHEN")</f>
        <v>PROFIL ANSEHEN</v>
      </c>
    </row>
    <row r="5017" spans="1:12" x14ac:dyDescent="0.2">
      <c r="A5017" t="s">
        <v>6291</v>
      </c>
      <c r="B5017" t="s">
        <v>6292</v>
      </c>
      <c r="C5017" t="s">
        <v>1812</v>
      </c>
      <c r="E5017" t="s">
        <v>6293</v>
      </c>
      <c r="F5017">
        <v>4934</v>
      </c>
      <c r="G5017" t="s">
        <v>670</v>
      </c>
      <c r="H5017" t="s">
        <v>16</v>
      </c>
      <c r="I5017" t="s">
        <v>3702</v>
      </c>
      <c r="J5017" t="s">
        <v>3703</v>
      </c>
      <c r="K5017" t="s">
        <v>1809</v>
      </c>
      <c r="L5017" t="str">
        <f>HYPERLINK("https://business-monitor.ch/de/companies/338744-schreinerei-armin-leuenberger?utm_source=oberaargau","PROFIL ANSEHEN")</f>
        <v>PROFIL ANSEHEN</v>
      </c>
    </row>
    <row r="5018" spans="1:12" x14ac:dyDescent="0.2">
      <c r="A5018" t="s">
        <v>12035</v>
      </c>
      <c r="B5018" t="s">
        <v>12036</v>
      </c>
      <c r="C5018" t="s">
        <v>1812</v>
      </c>
      <c r="E5018" t="s">
        <v>12037</v>
      </c>
      <c r="F5018">
        <v>4900</v>
      </c>
      <c r="G5018" t="s">
        <v>41</v>
      </c>
      <c r="H5018" t="s">
        <v>16</v>
      </c>
      <c r="I5018" t="s">
        <v>1860</v>
      </c>
      <c r="J5018" t="s">
        <v>1861</v>
      </c>
      <c r="K5018" t="s">
        <v>1809</v>
      </c>
      <c r="L5018" t="str">
        <f>HYPERLINK("https://business-monitor.ch/de/companies/1180054-haircut-tanja-koenig?utm_source=oberaargau","PROFIL ANSEHEN")</f>
        <v>PROFIL ANSEHEN</v>
      </c>
    </row>
    <row r="5019" spans="1:12" x14ac:dyDescent="0.2">
      <c r="A5019" t="s">
        <v>6181</v>
      </c>
      <c r="B5019" t="s">
        <v>6182</v>
      </c>
      <c r="C5019" t="s">
        <v>13</v>
      </c>
      <c r="E5019" t="s">
        <v>4452</v>
      </c>
      <c r="F5019">
        <v>4900</v>
      </c>
      <c r="G5019" t="s">
        <v>41</v>
      </c>
      <c r="H5019" t="s">
        <v>16</v>
      </c>
      <c r="I5019" t="s">
        <v>824</v>
      </c>
      <c r="J5019" t="s">
        <v>825</v>
      </c>
      <c r="K5019" t="s">
        <v>1809</v>
      </c>
      <c r="L5019" t="str">
        <f>HYPERLINK("https://business-monitor.ch/de/companies/151569-businesspark-langenthal-ag?utm_source=oberaargau","PROFIL ANSEHEN")</f>
        <v>PROFIL ANSEHEN</v>
      </c>
    </row>
    <row r="5020" spans="1:12" x14ac:dyDescent="0.2">
      <c r="A5020" t="s">
        <v>10630</v>
      </c>
      <c r="B5020" t="s">
        <v>10631</v>
      </c>
      <c r="C5020" t="s">
        <v>1812</v>
      </c>
      <c r="E5020" t="s">
        <v>10632</v>
      </c>
      <c r="F5020">
        <v>3360</v>
      </c>
      <c r="G5020" t="s">
        <v>35</v>
      </c>
      <c r="H5020" t="s">
        <v>16</v>
      </c>
      <c r="I5020" t="s">
        <v>175</v>
      </c>
      <c r="J5020" t="s">
        <v>176</v>
      </c>
      <c r="K5020" t="s">
        <v>1809</v>
      </c>
      <c r="L5020" t="str">
        <f>HYPERLINK("https://business-monitor.ch/de/companies/178059-carrosserie-grossen?utm_source=oberaargau","PROFIL ANSEHEN")</f>
        <v>PROFIL ANSEHEN</v>
      </c>
    </row>
    <row r="5021" spans="1:12" x14ac:dyDescent="0.2">
      <c r="A5021" t="s">
        <v>9838</v>
      </c>
      <c r="B5021" t="s">
        <v>9839</v>
      </c>
      <c r="C5021" t="s">
        <v>13</v>
      </c>
      <c r="D5021" t="s">
        <v>14014</v>
      </c>
      <c r="E5021" t="s">
        <v>11884</v>
      </c>
      <c r="F5021">
        <v>4900</v>
      </c>
      <c r="G5021" t="s">
        <v>41</v>
      </c>
      <c r="H5021" t="s">
        <v>16</v>
      </c>
      <c r="I5021" t="s">
        <v>186</v>
      </c>
      <c r="J5021" t="s">
        <v>187</v>
      </c>
      <c r="K5021" t="s">
        <v>1809</v>
      </c>
      <c r="L5021" t="str">
        <f>HYPERLINK("https://business-monitor.ch/de/companies/991936-bucher-private-holding-ag?utm_source=oberaargau","PROFIL ANSEHEN")</f>
        <v>PROFIL ANSEHEN</v>
      </c>
    </row>
    <row r="5022" spans="1:12" x14ac:dyDescent="0.2">
      <c r="A5022" t="s">
        <v>11818</v>
      </c>
      <c r="B5022" t="s">
        <v>11819</v>
      </c>
      <c r="C5022" t="s">
        <v>202</v>
      </c>
      <c r="E5022" t="s">
        <v>11820</v>
      </c>
      <c r="F5022">
        <v>4900</v>
      </c>
      <c r="G5022" t="s">
        <v>41</v>
      </c>
      <c r="H5022" t="s">
        <v>16</v>
      </c>
      <c r="I5022" t="s">
        <v>2748</v>
      </c>
      <c r="J5022" t="s">
        <v>2749</v>
      </c>
      <c r="K5022" t="s">
        <v>1809</v>
      </c>
      <c r="L5022" t="str">
        <f>HYPERLINK("https://business-monitor.ch/de/companies/1151328-sindy-mueller-gmbh?utm_source=oberaargau","PROFIL ANSEHEN")</f>
        <v>PROFIL ANSEHEN</v>
      </c>
    </row>
    <row r="5023" spans="1:12" x14ac:dyDescent="0.2">
      <c r="A5023" t="s">
        <v>3614</v>
      </c>
      <c r="B5023" t="s">
        <v>3615</v>
      </c>
      <c r="C5023" t="s">
        <v>1812</v>
      </c>
      <c r="E5023" t="s">
        <v>3616</v>
      </c>
      <c r="F5023">
        <v>4922</v>
      </c>
      <c r="G5023" t="s">
        <v>1318</v>
      </c>
      <c r="H5023" t="s">
        <v>16</v>
      </c>
      <c r="I5023" t="s">
        <v>997</v>
      </c>
      <c r="J5023" t="s">
        <v>998</v>
      </c>
      <c r="K5023" t="s">
        <v>1809</v>
      </c>
      <c r="L5023" t="str">
        <f>HYPERLINK("https://business-monitor.ch/de/companies/90080-velos-mofas-gaberthueel?utm_source=oberaargau","PROFIL ANSEHEN")</f>
        <v>PROFIL ANSEHEN</v>
      </c>
    </row>
    <row r="5024" spans="1:12" x14ac:dyDescent="0.2">
      <c r="A5024" t="s">
        <v>11398</v>
      </c>
      <c r="B5024" t="s">
        <v>11399</v>
      </c>
      <c r="C5024" t="s">
        <v>202</v>
      </c>
      <c r="E5024" t="s">
        <v>11400</v>
      </c>
      <c r="F5024">
        <v>3360</v>
      </c>
      <c r="G5024" t="s">
        <v>35</v>
      </c>
      <c r="H5024" t="s">
        <v>16</v>
      </c>
      <c r="I5024" t="s">
        <v>3510</v>
      </c>
      <c r="J5024" t="s">
        <v>3511</v>
      </c>
      <c r="K5024" t="s">
        <v>1809</v>
      </c>
      <c r="L5024" t="str">
        <f>HYPERLINK("https://business-monitor.ch/de/companies/1128434-bastlerei-buchsi-gmbh?utm_source=oberaargau","PROFIL ANSEHEN")</f>
        <v>PROFIL ANSEHEN</v>
      </c>
    </row>
    <row r="5025" spans="1:12" x14ac:dyDescent="0.2">
      <c r="A5025" t="s">
        <v>14701</v>
      </c>
      <c r="B5025" t="s">
        <v>14702</v>
      </c>
      <c r="C5025" t="s">
        <v>2178</v>
      </c>
      <c r="E5025" t="s">
        <v>4711</v>
      </c>
      <c r="F5025">
        <v>4950</v>
      </c>
      <c r="G5025" t="s">
        <v>15</v>
      </c>
      <c r="H5025" t="s">
        <v>16</v>
      </c>
      <c r="I5025" t="s">
        <v>854</v>
      </c>
      <c r="J5025" t="s">
        <v>855</v>
      </c>
      <c r="L5025" t="str">
        <f>HYPERLINK("https://business-monitor.ch/de/companies/1306130-indiz-digital-gmbh?utm_source=oberaargau","PROFIL ANSEHEN")</f>
        <v>PROFIL ANSEHEN</v>
      </c>
    </row>
  </sheetData>
  <sheetProtection algorithmName="SHA-512" hashValue="3ea/9QVyf+WxMEVIbySl6lqOzCQn/01S1sO2k1tO7XR0gdQSeOrGOrWAjSmpy9ob1mEvNjuOKE2wsXs9rL7+WA==" saltValue="VY3i+zl4xmHokRnou8+ing==" spinCount="100000" sheet="1" selectLockedCells="1" sort="0" autoFilter="0"/>
  <autoFilter ref="A4:L4722" xr:uid="{C8FF0131-AFA1-B54C-BDE2-22A777D77647}"/>
  <mergeCells count="1">
    <mergeCell ref="A2:L2"/>
  </mergeCells>
  <hyperlinks>
    <hyperlink ref="B3" r:id="rId1" display="Vollständige Liste ansehen" xr:uid="{CAAD545C-4E28-AF4E-9224-CE5B8914F7FB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Fanny Di Giusto</cp:lastModifiedBy>
  <dcterms:created xsi:type="dcterms:W3CDTF">2021-09-03T09:07:43Z</dcterms:created>
  <dcterms:modified xsi:type="dcterms:W3CDTF">2025-10-06T08:30:21Z</dcterms:modified>
</cp:coreProperties>
</file>